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5480" windowHeight="11640" tabRatio="885" activeTab="4"/>
  </bookViews>
  <sheets>
    <sheet name="Profit and loss Q" sheetId="1" r:id="rId1"/>
    <sheet name="Key figures SW" sheetId="2" r:id="rId2"/>
    <sheet name="Key figures EN" sheetId="3" r:id="rId3"/>
    <sheet name="Profit and loss" sheetId="4" r:id="rId4"/>
    <sheet name="Balance sheet" sheetId="5" r:id="rId5"/>
    <sheet name="Balance sheet Q" sheetId="6" r:id="rId6"/>
    <sheet name="Cash flow" sheetId="7" r:id="rId7"/>
    <sheet name="Cash flow Q" sheetId="8" r:id="rId8"/>
    <sheet name="SCA 10 Year Comparison" sheetId="9" r:id="rId9"/>
    <sheet name="SCA Key Ratios" sheetId="10" r:id="rId10"/>
    <sheet name="Data per share" sheetId="11" r:id="rId11"/>
  </sheets>
  <definedNames>
    <definedName name="HTML_CodePage" hidden="1">1252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<sst xmlns="http://schemas.openxmlformats.org/spreadsheetml/2006/main" count="1517" uniqueCount="515">
  <si>
    <t>Net sales</t>
  </si>
  <si>
    <t>Net financial items</t>
  </si>
  <si>
    <t>Earnings after net financial items</t>
  </si>
  <si>
    <t>Minority interest</t>
  </si>
  <si>
    <t>Assets</t>
  </si>
  <si>
    <t>Fixed assets</t>
  </si>
  <si>
    <t>Receivables and inventories</t>
  </si>
  <si>
    <t>Financial receivables and investments</t>
  </si>
  <si>
    <t>Cash and bank balances</t>
  </si>
  <si>
    <t>Total assets</t>
  </si>
  <si>
    <t>Shareholders' equity and liabilities</t>
  </si>
  <si>
    <t>Shareholders' equity</t>
  </si>
  <si>
    <t>Provisions</t>
  </si>
  <si>
    <t>Interest-bearing debt</t>
  </si>
  <si>
    <t>Change in working capital</t>
  </si>
  <si>
    <t>Current capital expenditures</t>
  </si>
  <si>
    <t>Other operating cash flow changes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</si>
  <si>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</si>
  <si>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</si>
  <si>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</si>
  <si>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</si>
  <si>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</si>
  <si>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</si>
  <si>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</si>
  <si>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</si>
  <si>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 xml:space="preserve">New issue of shares  </t>
  </si>
  <si>
    <t>Dividend</t>
  </si>
  <si>
    <t>Net cash flow</t>
  </si>
  <si>
    <t>NET DEBT  SEK M</t>
  </si>
  <si>
    <t>Net debt January 1</t>
  </si>
  <si>
    <t>New issue of shares through bond conversions</t>
  </si>
  <si>
    <t>Net debt in acquired and divested operations</t>
  </si>
  <si>
    <t>Net debt December 31</t>
  </si>
  <si>
    <t>Financial receivables</t>
  </si>
  <si>
    <t>Cash and short-term investments</t>
  </si>
  <si>
    <t>Operating liabilities, provisions and other interest-free liabilities</t>
  </si>
  <si>
    <t>Net debt, 1 January</t>
  </si>
  <si>
    <t>Currency effects</t>
  </si>
  <si>
    <t>Net debt, closing balance</t>
  </si>
  <si>
    <t>-</t>
  </si>
  <si>
    <t>SCA Key Ratios</t>
  </si>
  <si>
    <t>Equity/assets, %</t>
  </si>
  <si>
    <t>Interest coverage, multiple</t>
  </si>
  <si>
    <t>Return on capital employed, %</t>
  </si>
  <si>
    <t>Return on shareholders equity, %</t>
  </si>
  <si>
    <t>Operating margin, %</t>
  </si>
  <si>
    <t>Net margin, %</t>
  </si>
  <si>
    <t>Capital turnover rate, multiple</t>
  </si>
  <si>
    <t>SCA 10 Year Comparison</t>
  </si>
  <si>
    <t>SEK M</t>
  </si>
  <si>
    <t xml:space="preserve">   Hygiene Products</t>
  </si>
  <si>
    <t xml:space="preserve">   Packaging</t>
  </si>
  <si>
    <t xml:space="preserve">   Graphic Paper</t>
  </si>
  <si>
    <t>-313</t>
  </si>
  <si>
    <t xml:space="preserve">   Other operations</t>
  </si>
  <si>
    <t>-11</t>
  </si>
  <si>
    <t xml:space="preserve">   Divested units</t>
  </si>
  <si>
    <t>-288</t>
  </si>
  <si>
    <t>-301</t>
  </si>
  <si>
    <t>-287</t>
  </si>
  <si>
    <t>-248</t>
  </si>
  <si>
    <t>-200</t>
  </si>
  <si>
    <t>-105</t>
  </si>
  <si>
    <t>-118</t>
  </si>
  <si>
    <t>Financial income</t>
  </si>
  <si>
    <t>Financial expenses</t>
  </si>
  <si>
    <t>Income tax</t>
  </si>
  <si>
    <t>-79</t>
  </si>
  <si>
    <t>-796</t>
  </si>
  <si>
    <t>-150</t>
  </si>
  <si>
    <t>-838</t>
  </si>
  <si>
    <t>-82</t>
  </si>
  <si>
    <t>-60</t>
  </si>
  <si>
    <t>-32</t>
  </si>
  <si>
    <t>-134</t>
  </si>
  <si>
    <t>-59</t>
  </si>
  <si>
    <t>Balance sheet</t>
  </si>
  <si>
    <t>Fixed assets (excl. financial receivables)</t>
  </si>
  <si>
    <t xml:space="preserve">Receivables and inventories </t>
  </si>
  <si>
    <t>Short-term investments</t>
  </si>
  <si>
    <t>Operating- and other noninterest-bearing liabilities</t>
  </si>
  <si>
    <t>Total liabilities and shareholders' equity</t>
  </si>
  <si>
    <t xml:space="preserve"> </t>
  </si>
  <si>
    <t>CASH FLOW STATEMENT  SEK M 1)</t>
  </si>
  <si>
    <t xml:space="preserve">1) Figures for 1998 and 1999 have been adjusted in accordance with SCA's new cash flow statement. </t>
  </si>
  <si>
    <t>Operating cash surplus  2)</t>
  </si>
  <si>
    <t>2) Operating surplus adjusted for significant noncash items in accordance with the principles being applied by SCA effective at midyear 1999.</t>
  </si>
  <si>
    <t>Strategic capital expenditures 3)</t>
  </si>
  <si>
    <t>3) Restructuring measures taken to improve SCA's competitive position is included in strategic capital expenditures.</t>
  </si>
  <si>
    <t>strategic capital expenditures.</t>
  </si>
  <si>
    <t>being applied by SCA effective at midyear 1999.</t>
  </si>
  <si>
    <t>1) Comparative figures have been calculated proforma with pension liabilities included in net debt.</t>
  </si>
  <si>
    <t xml:space="preserve">   Forest Products</t>
  </si>
  <si>
    <t xml:space="preserve">   Fine Paper and paper merchant</t>
  </si>
  <si>
    <t xml:space="preserve">   Forest and Timber</t>
  </si>
  <si>
    <t xml:space="preserve">   Goodwill amortization</t>
  </si>
  <si>
    <t>Total shareholders' equity and liabilities</t>
  </si>
  <si>
    <t>6) Data for 1995-1998 adjusted in accordance with SCA´s new cash flow analysis applied as of 1999.</t>
  </si>
  <si>
    <t>1) Operating profit has been distributed (pro forma) for 1995-1999.</t>
  </si>
  <si>
    <t>Net debt, excl pension provisions</t>
  </si>
  <si>
    <t>Net debt, incl pension provisions</t>
  </si>
  <si>
    <t>4) The provisions are included in operating- and other interest-free liabilities in 1990-1995.</t>
  </si>
  <si>
    <t>000331</t>
  </si>
  <si>
    <t>000630</t>
  </si>
  <si>
    <t>000930</t>
  </si>
  <si>
    <t>New issue of shares through exercise of bonds</t>
  </si>
  <si>
    <t>NET DEBT  SEK M (YTD)</t>
  </si>
  <si>
    <t>001231</t>
  </si>
  <si>
    <t>2000</t>
  </si>
  <si>
    <t>010331</t>
  </si>
  <si>
    <t>010630</t>
  </si>
  <si>
    <t>010930</t>
  </si>
  <si>
    <t>Asset securitization</t>
  </si>
  <si>
    <t>011231</t>
  </si>
  <si>
    <t>BALANCE SHEET  SEK M 1)</t>
  </si>
  <si>
    <t>1) Figures for 2000 have been adjusted in accordance with new accounting principle (RR9) and new recommendation (RR5)</t>
  </si>
  <si>
    <t>020331</t>
  </si>
  <si>
    <t>020630</t>
  </si>
  <si>
    <t>020930</t>
  </si>
  <si>
    <t>021231</t>
  </si>
  <si>
    <t>to include accrued interest expense and revenue, SEK 184 M, which previously included in capital employed.</t>
  </si>
  <si>
    <t xml:space="preserve">4) Effective January 1, 2002, the Group changed its definition of net debt </t>
  </si>
  <si>
    <t>Effect of changed definition of net debt 4)</t>
  </si>
  <si>
    <t>030331</t>
  </si>
  <si>
    <t>Repurchasing/Selling of own stock</t>
  </si>
  <si>
    <t>030630</t>
  </si>
  <si>
    <t>030930</t>
  </si>
  <si>
    <t>031231</t>
  </si>
  <si>
    <t>3) Earnings in Sweden have been charged with 28% deferred tax in 1994-2003, and 30% in 1990-1993.</t>
  </si>
  <si>
    <t xml:space="preserve">5) Calculation of average return on capital employed and shareholders' equity is based on five measurements during 1993-2003, four measurements in 1991 and 1992 and two measurements in earlier years. </t>
  </si>
  <si>
    <t>2) Only reported seperately 1990-1995 and 2000.</t>
  </si>
  <si>
    <t>2) Figures are adjusted historically to reflect new issue.</t>
  </si>
  <si>
    <t xml:space="preserve">3) Board proposal. </t>
  </si>
  <si>
    <r>
      <t xml:space="preserve">Earnings per share, SEK </t>
    </r>
    <r>
      <rPr>
        <vertAlign val="superscript"/>
        <sz val="10"/>
        <color indexed="8"/>
        <rFont val="Arial"/>
        <family val="2"/>
      </rPr>
      <t>2)</t>
    </r>
  </si>
  <si>
    <r>
      <t xml:space="preserve">Operating cash flow per share, SEK </t>
    </r>
    <r>
      <rPr>
        <vertAlign val="superscript"/>
        <sz val="10"/>
        <color indexed="8"/>
        <rFont val="Arial"/>
        <family val="2"/>
      </rPr>
      <t>2)</t>
    </r>
  </si>
  <si>
    <r>
      <t xml:space="preserve">Debt payment capacity </t>
    </r>
    <r>
      <rPr>
        <vertAlign val="superscript"/>
        <sz val="10"/>
        <color indexed="8"/>
        <rFont val="Arial"/>
        <family val="2"/>
      </rPr>
      <t>1)</t>
    </r>
  </si>
  <si>
    <r>
      <t xml:space="preserve">Debt/equity ratio, multiple </t>
    </r>
    <r>
      <rPr>
        <vertAlign val="superscript"/>
        <sz val="10"/>
        <color indexed="8"/>
        <rFont val="Arial"/>
        <family val="2"/>
      </rPr>
      <t>1)</t>
    </r>
  </si>
  <si>
    <r>
      <t xml:space="preserve">Operating profit </t>
    </r>
    <r>
      <rPr>
        <vertAlign val="superscript"/>
        <sz val="10"/>
        <rFont val="Arial"/>
        <family val="2"/>
      </rPr>
      <t>1)</t>
    </r>
  </si>
  <si>
    <r>
      <t xml:space="preserve">   Nonrecuring items </t>
    </r>
    <r>
      <rPr>
        <vertAlign val="superscript"/>
        <sz val="10"/>
        <rFont val="Arial"/>
        <family val="2"/>
      </rPr>
      <t>2)</t>
    </r>
  </si>
  <si>
    <r>
      <t xml:space="preserve">Net earnings for the year </t>
    </r>
    <r>
      <rPr>
        <b/>
        <vertAlign val="superscript"/>
        <sz val="10"/>
        <rFont val="Arial"/>
        <family val="2"/>
      </rPr>
      <t>3)</t>
    </r>
  </si>
  <si>
    <r>
      <t xml:space="preserve">Provisions </t>
    </r>
    <r>
      <rPr>
        <vertAlign val="superscript"/>
        <sz val="10"/>
        <rFont val="Arial"/>
        <family val="2"/>
      </rPr>
      <t>4)</t>
    </r>
  </si>
  <si>
    <r>
      <t xml:space="preserve">Capital employed </t>
    </r>
    <r>
      <rPr>
        <vertAlign val="superscript"/>
        <sz val="10"/>
        <rFont val="Arial"/>
        <family val="2"/>
      </rPr>
      <t>5)</t>
    </r>
  </si>
  <si>
    <r>
      <t xml:space="preserve">Operating cash flow </t>
    </r>
    <r>
      <rPr>
        <vertAlign val="superscript"/>
        <sz val="10"/>
        <rFont val="Arial"/>
        <family val="2"/>
      </rPr>
      <t>6)</t>
    </r>
  </si>
  <si>
    <r>
      <t xml:space="preserve">Cash flow from current operations </t>
    </r>
    <r>
      <rPr>
        <vertAlign val="superscript"/>
        <sz val="10"/>
        <rFont val="Arial"/>
        <family val="2"/>
      </rPr>
      <t>6)</t>
    </r>
  </si>
  <si>
    <r>
      <t xml:space="preserve">Cash flow before dividend </t>
    </r>
    <r>
      <rPr>
        <vertAlign val="superscript"/>
        <sz val="10"/>
        <rFont val="Arial"/>
        <family val="2"/>
      </rPr>
      <t>6)</t>
    </r>
  </si>
  <si>
    <t>040331</t>
  </si>
  <si>
    <t>040630</t>
  </si>
  <si>
    <t>040930</t>
  </si>
  <si>
    <t>to include accrued interest expense and revenue, SEK 184 M, which previously were included in capital employed.</t>
  </si>
  <si>
    <t>041231</t>
  </si>
  <si>
    <t>050331</t>
  </si>
  <si>
    <t>Effect of changes due to IFRS 5)</t>
  </si>
  <si>
    <t>Pension liabilities 6)</t>
  </si>
  <si>
    <t>5) The reports are prepared in accordance with the International Financial Reporting Standards (IFRS), all comparative figures for 2004 are recalculated.</t>
  </si>
  <si>
    <t>6) As from 31 December 1999, the Group´s reported pension liabilities are included in net debt.</t>
  </si>
  <si>
    <t>4) Adjusted to IFRS.</t>
  </si>
  <si>
    <t>050630</t>
  </si>
  <si>
    <t>050930</t>
  </si>
  <si>
    <t>Assets held for sale</t>
  </si>
  <si>
    <t>051231</t>
  </si>
  <si>
    <t>Remeasurements taken to equity</t>
  </si>
  <si>
    <t>060331</t>
  </si>
  <si>
    <t>060630</t>
  </si>
  <si>
    <t>1) Figures for 00-12-31 have been adjusted in accordance with new accounting principle (RR9) and new recommendation (RR5)</t>
  </si>
  <si>
    <t xml:space="preserve">1) Figures for 1997, 1998 and 1999 have been adjusted in accordance with SCA's new cash flow statement. </t>
  </si>
  <si>
    <t xml:space="preserve">2) Operating surplus adjusted for significant noncash items in accordance with the principles </t>
  </si>
  <si>
    <t>3) Restructuring measures taken to improve SCA's competitive position is included in</t>
  </si>
  <si>
    <t>4) As from 31 December 1999, the Group´s reported pension liabilities are included in net debt.</t>
  </si>
  <si>
    <t xml:space="preserve">5) Effective January 1, 2002, the Group changed its definition of net debt </t>
  </si>
  <si>
    <t>Cash flow</t>
  </si>
  <si>
    <t>Profit and loss</t>
  </si>
  <si>
    <t>x</t>
  </si>
  <si>
    <t>060930</t>
  </si>
  <si>
    <t>061231</t>
  </si>
  <si>
    <t>070331</t>
  </si>
  <si>
    <t>070630</t>
  </si>
  <si>
    <t>070930</t>
  </si>
  <si>
    <t>Nettoomsättning</t>
  </si>
  <si>
    <t>Finansiella poster, netto</t>
  </si>
  <si>
    <t>Resultat efter finansiella poster</t>
  </si>
  <si>
    <t>Skatter</t>
  </si>
  <si>
    <t>Minoritetens andel</t>
  </si>
  <si>
    <r>
      <t xml:space="preserve">Balansräkning MSEK </t>
    </r>
    <r>
      <rPr>
        <b/>
        <vertAlign val="superscript"/>
        <sz val="10"/>
        <rFont val="Arial"/>
        <family val="2"/>
      </rPr>
      <t>1)</t>
    </r>
  </si>
  <si>
    <t>Tillgångar</t>
  </si>
  <si>
    <t>Anläggningstillgångar</t>
  </si>
  <si>
    <t>Fordringar och varulager</t>
  </si>
  <si>
    <t>Finansiella fordringar och placeringar</t>
  </si>
  <si>
    <t>Likvida medel</t>
  </si>
  <si>
    <t>Summa tillgångar</t>
  </si>
  <si>
    <t>Eget kapital och skulder</t>
  </si>
  <si>
    <t>Eget kapital</t>
  </si>
  <si>
    <t>Minoritetsandel</t>
  </si>
  <si>
    <t>Avsättningar</t>
  </si>
  <si>
    <t>Räntebärande skulder</t>
  </si>
  <si>
    <t>Rörelseskulder och andra, icke räntebärande skulder</t>
  </si>
  <si>
    <t>Summa eget kapital och skulder</t>
  </si>
  <si>
    <t>1) Siffrorna för 2000 har justerats i enlighet med den nya redovisningsprincipen RR9 och rekommendationen RR5.</t>
  </si>
  <si>
    <t>Finansiella fordringar</t>
  </si>
  <si>
    <t>Tillgångar till försäljning</t>
  </si>
  <si>
    <t>Räntebärande skuld</t>
  </si>
  <si>
    <t>Rörelseskulder och andra räntefria skulder</t>
  </si>
  <si>
    <r>
      <t xml:space="preserve">Kassaflödesanalys MSEK </t>
    </r>
    <r>
      <rPr>
        <b/>
        <vertAlign val="superscript"/>
        <sz val="10"/>
        <rFont val="Arial"/>
        <family val="2"/>
      </rPr>
      <t>1)</t>
    </r>
  </si>
  <si>
    <r>
      <t xml:space="preserve">Kassamässigt rörelseöverskott </t>
    </r>
    <r>
      <rPr>
        <vertAlign val="superscript"/>
        <sz val="10"/>
        <rFont val="Arial"/>
        <family val="2"/>
      </rPr>
      <t>2)</t>
    </r>
  </si>
  <si>
    <t>Förändring av rörelsekapital</t>
  </si>
  <si>
    <t>Löpande investeringar</t>
  </si>
  <si>
    <t>Övrig operativ kassaflödesförändring</t>
  </si>
  <si>
    <t>Operativt kassaflöde</t>
  </si>
  <si>
    <t>Betalda skatter</t>
  </si>
  <si>
    <t>Övrigt</t>
  </si>
  <si>
    <t>Rörelsens kassaflöde</t>
  </si>
  <si>
    <r>
      <t xml:space="preserve">Strategiska investeringar </t>
    </r>
    <r>
      <rPr>
        <vertAlign val="superscript"/>
        <sz val="10"/>
        <rFont val="Arial"/>
        <family val="2"/>
      </rPr>
      <t>3)</t>
    </r>
  </si>
  <si>
    <t>Förvärv</t>
  </si>
  <si>
    <t>Avyttringar</t>
  </si>
  <si>
    <t>Kassaflöde före utdelning</t>
  </si>
  <si>
    <t>Nyemission</t>
  </si>
  <si>
    <t>Nyemission genom obligationsutgivning</t>
  </si>
  <si>
    <t>Utdelning</t>
  </si>
  <si>
    <t>Nettokassaflöde</t>
  </si>
  <si>
    <t>Nettolåneskuld MSEK</t>
  </si>
  <si>
    <t>Nettolåneskuld vid årets början</t>
  </si>
  <si>
    <t>Värdepapperisering</t>
  </si>
  <si>
    <t xml:space="preserve">Nyemission genom obligationsomvandling </t>
  </si>
  <si>
    <t>Nettolåneskuld i förvärvade och avyttrade enheter</t>
  </si>
  <si>
    <r>
      <t xml:space="preserve">Pensionsskulder </t>
    </r>
    <r>
      <rPr>
        <vertAlign val="superscript"/>
        <sz val="10"/>
        <rFont val="Arial"/>
        <family val="2"/>
      </rPr>
      <t>4)</t>
    </r>
  </si>
  <si>
    <t>Omvärderingar mot eget kapital</t>
  </si>
  <si>
    <r>
      <t>Effekter av förändrad definition av nettolåneskuld</t>
    </r>
    <r>
      <rPr>
        <vertAlign val="superscript"/>
        <sz val="10"/>
        <rFont val="Arial"/>
        <family val="2"/>
      </rPr>
      <t xml:space="preserve"> 5)</t>
    </r>
  </si>
  <si>
    <t>Valutaeffekter</t>
  </si>
  <si>
    <t>Nettolåneskuld vid årets slut</t>
  </si>
  <si>
    <t xml:space="preserve">1) Siffrorna för 1997, 1998 och 1999 har justerats i enlighet med SCAs nya kassaflödesanalys. </t>
  </si>
  <si>
    <t>2) Rörelseöverskottet justerat för väsentliga, icke kassamässiga poster, enligt de principer SCA tillämpar från och med halvårsskiftet 1999.</t>
  </si>
  <si>
    <t>3) Omstruktureringsåtgärder tagna för att förbättra SCAs konkurrenssituation är inkluderade i strategiska investeringar.</t>
  </si>
  <si>
    <t>4) Från den 31 december 1999 inkluderas koncernens rapporterade pensionsskuld i nettolåneskulden.</t>
  </si>
  <si>
    <t>5) Koncernen har från och med den 1 januari 2002 förändrat sin definition av nettolåneskuld till att inkludera även upplupna räntekostnader och ränteintäkter, 184 Mkr, vilka tidigare utgjorde del av sysselsatt kapital.</t>
  </si>
  <si>
    <t>Återköp/försäljning av egna aktier</t>
  </si>
  <si>
    <r>
      <t xml:space="preserve">Effekter av förändrad definition av nettolåneskuld </t>
    </r>
    <r>
      <rPr>
        <vertAlign val="superscript"/>
        <sz val="10"/>
        <rFont val="Arial"/>
        <family val="2"/>
      </rPr>
      <t>4)</t>
    </r>
  </si>
  <si>
    <r>
      <t xml:space="preserve">Effekter av förändringar till följd av IFRS </t>
    </r>
    <r>
      <rPr>
        <vertAlign val="superscript"/>
        <sz val="10"/>
        <rFont val="Arial"/>
        <family val="2"/>
      </rPr>
      <t>5)</t>
    </r>
  </si>
  <si>
    <r>
      <t xml:space="preserve">Pensionsskulder </t>
    </r>
    <r>
      <rPr>
        <vertAlign val="superscript"/>
        <sz val="10"/>
        <rFont val="Arial"/>
        <family val="2"/>
      </rPr>
      <t>6)</t>
    </r>
  </si>
  <si>
    <t xml:space="preserve">1) Siffror för 1998 och 1999 har justerats enligt SCAs nya kassaflödesanalys. </t>
  </si>
  <si>
    <t>2) Rörelsens överskott har justerats för poster som inte ingår i kassaflödet enligt de principer som SCA började tillämpa from halvåret 1999.</t>
  </si>
  <si>
    <t>3) Omstruktureringsåtgärder för att förbättra SCAs konkurrenssituation har inkluderats i strategiska investeringar.</t>
  </si>
  <si>
    <t>4) Koncernen har från och med den 1 januari 2002 förändrat sin definition av nettolåneskuld till att inkludera även upplupna räntekostnader och ränteintäkter, 184 Mkr, vilka tidigare utgjorde del av sysselsatt kapital.</t>
  </si>
  <si>
    <t>5) Rapporterna är beräknade enligt International Financial Reporting Standards (IFRS), alla jämförelsesiffror för 2004 har räknats om.</t>
  </si>
  <si>
    <t>6) From 31 december 1999 är koncernens rapporterade pensionsskulder inkluderade i nettolåneskulden.</t>
  </si>
  <si>
    <t>10-årsöversikt MSEK</t>
  </si>
  <si>
    <r>
      <t xml:space="preserve">Rörelseresultat </t>
    </r>
    <r>
      <rPr>
        <vertAlign val="superscript"/>
        <sz val="10"/>
        <rFont val="Arial"/>
        <family val="2"/>
      </rPr>
      <t>1)</t>
    </r>
  </si>
  <si>
    <t xml:space="preserve">   Hygienprodukter</t>
  </si>
  <si>
    <t xml:space="preserve">   Förpackningar</t>
  </si>
  <si>
    <t xml:space="preserve">   Skogsindustriprodukter</t>
  </si>
  <si>
    <t xml:space="preserve">   Grafiska papper</t>
  </si>
  <si>
    <t xml:space="preserve">   Skog och Trä</t>
  </si>
  <si>
    <t xml:space="preserve">   Finpapper och grossiströrelse</t>
  </si>
  <si>
    <t xml:space="preserve">   Övrig verksamhet</t>
  </si>
  <si>
    <t xml:space="preserve">   Avyttrade enheter</t>
  </si>
  <si>
    <t xml:space="preserve">   Goodwill-avskrivningar</t>
  </si>
  <si>
    <r>
      <t xml:space="preserve">   Poster av engångskaraktär </t>
    </r>
    <r>
      <rPr>
        <vertAlign val="superscript"/>
        <sz val="10"/>
        <rFont val="Arial"/>
        <family val="2"/>
      </rPr>
      <t>2)</t>
    </r>
  </si>
  <si>
    <t>Finansiella intäkter</t>
  </si>
  <si>
    <t>Finansiella kostnader</t>
  </si>
  <si>
    <r>
      <t>Årets nettoresultat</t>
    </r>
    <r>
      <rPr>
        <b/>
        <vertAlign val="superscript"/>
        <sz val="10"/>
        <rFont val="Arial"/>
        <family val="2"/>
      </rPr>
      <t xml:space="preserve"> 3)</t>
    </r>
  </si>
  <si>
    <t>Balansräkning</t>
  </si>
  <si>
    <t>Anläggningstillgångar (exkl. finansiella fordringar</t>
  </si>
  <si>
    <t>Kortfristiga placeringar</t>
  </si>
  <si>
    <t>Minoritetsintressen</t>
  </si>
  <si>
    <r>
      <t xml:space="preserve">Avsättningar </t>
    </r>
    <r>
      <rPr>
        <vertAlign val="superscript"/>
        <sz val="10"/>
        <rFont val="Arial"/>
        <family val="2"/>
      </rPr>
      <t>4)</t>
    </r>
  </si>
  <si>
    <t>Rörelse- och andra ej räntebärande skulder</t>
  </si>
  <si>
    <r>
      <t xml:space="preserve">Sysselsatt kapital </t>
    </r>
    <r>
      <rPr>
        <vertAlign val="superscript"/>
        <sz val="10"/>
        <rFont val="Arial"/>
        <family val="2"/>
      </rPr>
      <t>5)</t>
    </r>
  </si>
  <si>
    <t>Nettolåneskuld, inkl. pensionsskulder</t>
  </si>
  <si>
    <t>Nettolåneskuld, exkl. pensionsskulder</t>
  </si>
  <si>
    <r>
      <t xml:space="preserve">Operativt kassaflöde </t>
    </r>
    <r>
      <rPr>
        <vertAlign val="superscript"/>
        <sz val="10"/>
        <rFont val="Arial"/>
        <family val="2"/>
      </rPr>
      <t>6)</t>
    </r>
  </si>
  <si>
    <r>
      <t xml:space="preserve">Rörelsens kassaflöde </t>
    </r>
    <r>
      <rPr>
        <vertAlign val="superscript"/>
        <sz val="10"/>
        <rFont val="Arial"/>
        <family val="2"/>
      </rPr>
      <t>6)</t>
    </r>
  </si>
  <si>
    <r>
      <t xml:space="preserve">Kassaflöde före utdelning </t>
    </r>
    <r>
      <rPr>
        <vertAlign val="superscript"/>
        <sz val="10"/>
        <rFont val="Arial"/>
        <family val="2"/>
      </rPr>
      <t>6)</t>
    </r>
  </si>
  <si>
    <t>Löpande investeringar i anläggningar</t>
  </si>
  <si>
    <t>Strategiska investeringar i anläggningar</t>
  </si>
  <si>
    <t>1) Rörelseresultatet har (proforma) uppdelats för 1995-1999.</t>
  </si>
  <si>
    <t>2) Särredovisas 1990-1995 samt 2000.</t>
  </si>
  <si>
    <t>3) Resultat i Sverige har belastats med 28 procent latent skatt 1994-2003 och med 30 procent 1990-1993.</t>
  </si>
  <si>
    <t>4) Avsättningar ingår i rörelse- och övriga ej räntebärande skulder för 1990-1995.</t>
  </si>
  <si>
    <t>5) Genomsnittsberäkning av sysselsatt kapital och eget kapital beräknas med fem mätpunkter 1993-2003, fyra mätpunkter 1991-1992 samt två mätpunkter under tidigare år.</t>
  </si>
  <si>
    <t>6) Data för 1995-1998 har justerats i enlighet med SCAs nya kassaflödesanalys som togs i bruk 1999.</t>
  </si>
  <si>
    <t>Nyckeltal</t>
  </si>
  <si>
    <t>Soliditet, %</t>
  </si>
  <si>
    <t>Räntetäckningsgrad, ggr</t>
  </si>
  <si>
    <r>
      <t xml:space="preserve">Skuldbetalningsförmåga </t>
    </r>
    <r>
      <rPr>
        <vertAlign val="superscript"/>
        <sz val="10"/>
        <color indexed="8"/>
        <rFont val="Arial"/>
        <family val="2"/>
      </rPr>
      <t>1)</t>
    </r>
  </si>
  <si>
    <r>
      <t xml:space="preserve">Skuldsättningsgrad, ggr </t>
    </r>
    <r>
      <rPr>
        <vertAlign val="superscript"/>
        <sz val="10"/>
        <color indexed="8"/>
        <rFont val="Arial"/>
        <family val="2"/>
      </rPr>
      <t>1)</t>
    </r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</si>
  <si>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</si>
  <si>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</si>
  <si>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</si>
  <si>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</si>
  <si>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</si>
  <si>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r>
      <t>Rörelsens kassaflöde per aktie, SEK</t>
    </r>
    <r>
      <rPr>
        <vertAlign val="superscript"/>
        <sz val="10"/>
        <color indexed="8"/>
        <rFont val="Arial"/>
        <family val="2"/>
      </rPr>
      <t xml:space="preserve"> 2)</t>
    </r>
  </si>
  <si>
    <r>
      <t xml:space="preserve">Vinst per aktie, SEK </t>
    </r>
    <r>
      <rPr>
        <vertAlign val="superscript"/>
        <sz val="10"/>
        <color indexed="8"/>
        <rFont val="Arial"/>
        <family val="2"/>
      </rPr>
      <t>2)</t>
    </r>
  </si>
  <si>
    <t>Utdelning, SEK/aktie</t>
  </si>
  <si>
    <t>1)Jämförbara siffror har beräknats proforma med pensionsskulder inkluderade i nettolåneskulden.</t>
  </si>
  <si>
    <t>2) Siffrorna justerade historiskt för att återspegla nyemission.</t>
  </si>
  <si>
    <t>Key ratios</t>
  </si>
  <si>
    <t>SCA Nyckeltal</t>
  </si>
  <si>
    <t>SCA 10-års översikt</t>
  </si>
  <si>
    <t>3) Styrelsens förslag</t>
  </si>
  <si>
    <t>4) Justerat enligt IFRS</t>
  </si>
  <si>
    <t>Kassaflödesanalys</t>
  </si>
  <si>
    <t>Resultaträkning</t>
  </si>
  <si>
    <t>071231</t>
  </si>
  <si>
    <t>Non-current liabilities held for sale</t>
  </si>
  <si>
    <t>Skulder till försäljning</t>
  </si>
  <si>
    <t>080331</t>
  </si>
  <si>
    <t>080631</t>
  </si>
  <si>
    <r>
      <t>2004</t>
    </r>
    <r>
      <rPr>
        <vertAlign val="superscript"/>
        <sz val="10"/>
        <rFont val="Arial"/>
        <family val="2"/>
      </rPr>
      <t>4)</t>
    </r>
  </si>
  <si>
    <t>8.12</t>
  </si>
  <si>
    <t>1.19</t>
  </si>
  <si>
    <t>16.13</t>
  </si>
  <si>
    <t>8.02</t>
  </si>
  <si>
    <t>10.21</t>
  </si>
  <si>
    <t>0.83</t>
  </si>
  <si>
    <t>4.48</t>
  </si>
  <si>
    <t>1.06</t>
  </si>
  <si>
    <t>31.17</t>
  </si>
  <si>
    <t>4.69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</si>
  <si>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</si>
  <si>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</si>
  <si>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</si>
  <si>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</si>
  <si>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</si>
  <si>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</si>
  <si>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Sales and administration expenses </t>
  </si>
  <si>
    <t xml:space="preserve">Items affecting comparability </t>
  </si>
  <si>
    <t xml:space="preserve">Jämförelsestörande poster </t>
  </si>
  <si>
    <t xml:space="preserve">–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</si>
  <si>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</si>
  <si>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</si>
  <si>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</si>
  <si>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</si>
  <si>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</si>
  <si>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</si>
  <si>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Financial expenses </t>
  </si>
  <si>
    <t xml:space="preserve">Finansiella kostnader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</si>
  <si>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</si>
  <si>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</si>
  <si>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</si>
  <si>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</si>
  <si>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Profit for the year </t>
  </si>
  <si>
    <t xml:space="preserve">Årets resultat </t>
  </si>
  <si>
    <t xml:space="preserve">Earnings attributable to: </t>
  </si>
  <si>
    <t xml:space="preserve">Resultat hänförligt till: </t>
  </si>
  <si>
    <t xml:space="preserve">Equity holders of the Parent Company </t>
  </si>
  <si>
    <t xml:space="preserve">Moderbolagets aktieägare </t>
  </si>
  <si>
    <t xml:space="preserve">Minority interests </t>
  </si>
  <si>
    <t xml:space="preserve">Minoritetsintressen </t>
  </si>
  <si>
    <t xml:space="preserve">Earnings per share </t>
  </si>
  <si>
    <t xml:space="preserve">Resultat per aktie </t>
  </si>
  <si>
    <t xml:space="preserve">Earnings per share, SEK - equity holders of Parent Company </t>
  </si>
  <si>
    <t xml:space="preserve">Resultat per aktie, SEK – moderbolagets aktieägare </t>
  </si>
  <si>
    <t xml:space="preserve">before dilution effects </t>
  </si>
  <si>
    <t xml:space="preserve">före utspädningseffekter </t>
  </si>
  <si>
    <t>7:94</t>
  </si>
  <si>
    <t xml:space="preserve">after dilution effects </t>
  </si>
  <si>
    <t xml:space="preserve">efter utspädningseffekter </t>
  </si>
  <si>
    <t xml:space="preserve">Dividend per share, SEK </t>
  </si>
  <si>
    <t xml:space="preserve">Utdelning per aktie, SEK </t>
  </si>
  <si>
    <t xml:space="preserve">Profit for period attributable to equity holders of the Parent Company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</si>
  <si>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</si>
  <si>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</si>
  <si>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</si>
  <si>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Warrants </t>
  </si>
  <si>
    <t xml:space="preserve">Teckningsoptioner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</si>
  <si>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</si>
  <si>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</si>
  <si>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</si>
  <si>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</si>
  <si>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</si>
  <si>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</si>
  <si>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</si>
  <si>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</si>
  <si>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</si>
  <si>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</si>
  <si>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Publication papers </t>
  </si>
  <si>
    <t xml:space="preserve">Tryckpapper </t>
  </si>
  <si>
    <t xml:space="preserve">Pulp, timber and solid-wood products </t>
  </si>
  <si>
    <t>Massa, virke och sågade trävaror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</si>
  <si>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</si>
  <si>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</si>
  <si>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</si>
  <si>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</si>
  <si>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</si>
  <si>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>10:17</t>
  </si>
  <si>
    <t>10:16</t>
  </si>
  <si>
    <t>Operational profit</t>
  </si>
  <si>
    <t>Resultat/rörelseresultat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</si>
  <si>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</si>
  <si>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</si>
  <si>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</si>
  <si>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</si>
  <si>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</si>
  <si>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</si>
  <si>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Cash flow from current operations1) </t>
  </si>
  <si>
    <t xml:space="preserve">Dividend </t>
  </si>
  <si>
    <t xml:space="preserve">Dividend growth, %3) </t>
  </si>
  <si>
    <t xml:space="preserve">Dividend yield </t>
  </si>
  <si>
    <t xml:space="preserve">P/E ratio4) </t>
  </si>
  <si>
    <t xml:space="preserve">Price/EBIT5) </t>
  </si>
  <si>
    <t xml:space="preserve">Beta coefficient6) </t>
  </si>
  <si>
    <t xml:space="preserve">Pay-out ratio (before dilution), % </t>
  </si>
  <si>
    <t xml:space="preserve">Equity, after dilution </t>
  </si>
  <si>
    <t xml:space="preserve">Equity, before dilution </t>
  </si>
  <si>
    <t xml:space="preserve">Average number of shares after dilution (millions) </t>
  </si>
  <si>
    <t xml:space="preserve">Number of registered shares 31 December (millions) </t>
  </si>
  <si>
    <t xml:space="preserve">Number of shares after full conversion (millions)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</si>
  <si>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</si>
  <si>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</si>
  <si>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</si>
  <si>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</si>
  <si>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</si>
  <si>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</si>
  <si>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</si>
  <si>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</si>
  <si>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</si>
  <si>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</si>
  <si>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Genomsnittligt antal aktier efter utspädningseffekter (milj.st.)</t>
  </si>
  <si>
    <t>Inregistrerade aktier 31 december (milj.st.)</t>
  </si>
  <si>
    <t>Antal aktier efter full konvertering (milj.st.)</t>
  </si>
  <si>
    <t>Data per share</t>
  </si>
  <si>
    <t>Data per aktie</t>
  </si>
  <si>
    <t>All earnings figures include non-recurring items.</t>
  </si>
  <si>
    <t>SEK per share</t>
  </si>
  <si>
    <t>Belopp i SEK per aktie</t>
  </si>
  <si>
    <t>Samtliga resultatmått inkluderar
poster av engångskaraktär.</t>
  </si>
  <si>
    <t>Group (SEKm)</t>
  </si>
  <si>
    <t>Koncernen (MSEk )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</si>
  <si>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</si>
  <si>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</si>
  <si>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</si>
  <si>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</si>
  <si>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</si>
  <si>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</si>
  <si>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</si>
  <si>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Försäljnings- och admini- strationskostn. m m</t>
  </si>
  <si>
    <t>Key figures</t>
  </si>
  <si>
    <t>SEK</t>
  </si>
  <si>
    <t>EUR</t>
  </si>
  <si>
    <t>Net sales, SEKm/EURm</t>
  </si>
  <si>
    <t>Profit before tax, SEKm/EURm</t>
  </si>
  <si>
    <t>Profit for the year, SEKm/EURm</t>
  </si>
  <si>
    <t>Earnings per share, SEK</t>
  </si>
  <si>
    <t>7.94</t>
  </si>
  <si>
    <t>10.16</t>
  </si>
  <si>
    <t>9.80</t>
  </si>
  <si>
    <t>Cash flow from current operations per share, SEK</t>
  </si>
  <si>
    <t>5.42</t>
  </si>
  <si>
    <t>6.42</t>
  </si>
  <si>
    <t>3.50</t>
  </si>
  <si>
    <t>4.40</t>
  </si>
  <si>
    <t>Strategic investments, incl. acquisitions, SEKm/EURm</t>
  </si>
  <si>
    <t>Equity, SEKm/EURm</t>
  </si>
  <si>
    <t>Return on equity, %</t>
  </si>
  <si>
    <t>Debt/equity ratio, multiple</t>
  </si>
  <si>
    <t>0.70</t>
  </si>
  <si>
    <t>0.58</t>
  </si>
  <si>
    <t>Average number of employees</t>
  </si>
  <si>
    <t>Nettoomsättning, MSEK/MEUR</t>
  </si>
  <si>
    <t>Resultat före skatt, MSEK/MEUR</t>
  </si>
  <si>
    <t>Årests resultat,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</si>
  <si>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</si>
  <si>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</si>
  <si>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</si>
  <si>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</si>
  <si>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</si>
  <si>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</si>
  <si>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r>
      <t>Profit for the year, SEKm</t>
    </r>
    <r>
      <rPr>
        <b/>
        <sz val="10"/>
        <rFont val="Arial"/>
        <family val="0"/>
      </rPr>
      <t>¹</t>
    </r>
  </si>
  <si>
    <t>Earnings per share, SEK¹</t>
  </si>
  <si>
    <t>Årets resultat, MSEK/MEUR¹</t>
  </si>
  <si>
    <t>Resultat per aktie, SEK¹</t>
  </si>
  <si>
    <t>Utdelning, SEK²</t>
  </si>
  <si>
    <t>Dividend, SEK²</t>
  </si>
  <si>
    <t>090331</t>
  </si>
  <si>
    <t>081231</t>
  </si>
  <si>
    <t>080930</t>
  </si>
  <si>
    <t>080630</t>
  </si>
  <si>
    <t>1) Board proposal.</t>
  </si>
  <si>
    <t>2) Rolling 10-year data.</t>
  </si>
  <si>
    <t>3) Share price at year-end divided by earnings per share after full tax and dilution.</t>
  </si>
  <si>
    <t>4) Market capitalisation plus net debt plus minority interests divided by operating profit. (EBIT = earnings before interest and taxes).</t>
  </si>
  <si>
    <t>5) Share price volatility compared with the entire stock exchange (measured for rolling 48 months)."</t>
  </si>
  <si>
    <t>1) Enligt styrelsens förslag.</t>
  </si>
  <si>
    <t>2) Rullande tioårsvärden.</t>
  </si>
  <si>
    <t>3) Aktiekursen vid årets slut dividerat med resultat per aktie efter full skatt och utspädningseffekter.</t>
  </si>
  <si>
    <t>4) Börsvärde plus nettolåneskulder plus minoritetsintresse dividerat med rörelseresultat. (EBIT = earnings before interest and taxes).</t>
  </si>
  <si>
    <t>5) Aktiens kursförändring jämfört med börsen som helhet (mäts på rullande 48-månader)."</t>
  </si>
  <si>
    <t>090930</t>
  </si>
  <si>
    <t>090630</t>
  </si>
  <si>
    <t>1:66</t>
  </si>
  <si>
    <t>1:82</t>
  </si>
  <si>
    <t>091230</t>
  </si>
  <si>
    <t>091231</t>
  </si>
  <si>
    <t>2009</t>
  </si>
  <si>
    <t>1:72</t>
  </si>
  <si>
    <t>0.60</t>
  </si>
  <si>
    <t>3:50</t>
  </si>
  <si>
    <t>6:78</t>
  </si>
  <si>
    <t>4:40</t>
  </si>
  <si>
    <r>
      <t xml:space="preserve">Dividend, SEK per share </t>
    </r>
    <r>
      <rPr>
        <vertAlign val="superscript"/>
        <sz val="10"/>
        <color indexed="8"/>
        <rFont val="Arial"/>
        <family val="2"/>
      </rPr>
      <t>2,3)</t>
    </r>
  </si>
  <si>
    <r>
      <t>Utdelningstillväxt, %</t>
    </r>
    <r>
      <rPr>
        <vertAlign val="superscript"/>
        <sz val="10"/>
        <rFont val="Arial"/>
        <family val="2"/>
      </rPr>
      <t>2</t>
    </r>
  </si>
  <si>
    <r>
      <t>P/E-tal</t>
    </r>
    <r>
      <rPr>
        <vertAlign val="superscript"/>
        <sz val="10"/>
        <rFont val="Arial"/>
        <family val="2"/>
      </rPr>
      <t>3</t>
    </r>
  </si>
  <si>
    <r>
      <t>Price/EBIT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</si>
  <si>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5</t>
    </r>
  </si>
  <si>
    <r>
      <t>3,70</t>
    </r>
    <r>
      <rPr>
        <vertAlign val="superscript"/>
        <sz val="10"/>
        <rFont val="Arial"/>
        <family val="2"/>
      </rPr>
      <t>3)</t>
    </r>
  </si>
  <si>
    <r>
      <t>3,70</t>
    </r>
    <r>
      <rPr>
        <vertAlign val="superscript"/>
        <sz val="10"/>
        <rFont val="Arial"/>
        <family val="2"/>
      </rPr>
      <t>1)</t>
    </r>
  </si>
  <si>
    <t>Koncernen (MSEK )</t>
  </si>
  <si>
    <t>genomsnittskurs</t>
  </si>
  <si>
    <t>balansdagskurs</t>
  </si>
  <si>
    <t>Vid omräkning till EUR har använts:</t>
  </si>
  <si>
    <r>
      <t>3:70</t>
    </r>
    <r>
      <rPr>
        <vertAlign val="superscript"/>
        <sz val="10"/>
        <rFont val="Arial"/>
        <family val="2"/>
      </rPr>
      <t>2</t>
    </r>
  </si>
  <si>
    <r>
      <t xml:space="preserve">Effect from changed definition of net debt </t>
    </r>
    <r>
      <rPr>
        <vertAlign val="superscript"/>
        <sz val="10"/>
        <rFont val="Arial"/>
        <family val="2"/>
      </rPr>
      <t>5)</t>
    </r>
  </si>
  <si>
    <r>
      <t xml:space="preserve">Pension liabilities </t>
    </r>
    <r>
      <rPr>
        <vertAlign val="superscript"/>
        <sz val="10"/>
        <rFont val="Arial"/>
        <family val="2"/>
      </rPr>
      <t>4)</t>
    </r>
  </si>
  <si>
    <r>
      <t xml:space="preserve">Strategic capital expenditures </t>
    </r>
    <r>
      <rPr>
        <vertAlign val="superscript"/>
        <sz val="10"/>
        <rFont val="Arial"/>
        <family val="2"/>
      </rPr>
      <t>3)</t>
    </r>
  </si>
  <si>
    <r>
      <t xml:space="preserve">Operating cash surplus </t>
    </r>
    <r>
      <rPr>
        <vertAlign val="superscript"/>
        <sz val="10"/>
        <rFont val="Arial"/>
        <family val="2"/>
      </rPr>
      <t>2)</t>
    </r>
  </si>
  <si>
    <r>
      <t xml:space="preserve">CASH FLOW STATEMENT  SEK M </t>
    </r>
    <r>
      <rPr>
        <b/>
        <vertAlign val="superscript"/>
        <sz val="10"/>
        <rFont val="Arial"/>
        <family val="2"/>
      </rPr>
      <t>1)</t>
    </r>
  </si>
  <si>
    <t>Note in AR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</si>
</sst>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7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30" borderId="2" applyNumberFormat="0" applyAlignment="0" applyProtection="0"/>
    <xf numFmtId="43" fontId="0" fillId="0" borderId="0" applyFont="0" applyFill="0" applyBorder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67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1" fillId="35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5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33" borderId="0" xfId="0" applyNumberFormat="1" applyFill="1" applyAlignment="1">
      <alignment horizontal="right"/>
    </xf>
    <xf numFmtId="0" fontId="6" fillId="34" borderId="0" xfId="0" applyNumberFormat="1" applyFont="1" applyFill="1" applyAlignment="1">
      <alignment/>
    </xf>
    <xf numFmtId="164" fontId="5" fillId="34" borderId="0" xfId="0" applyFont="1" applyFill="1" applyAlignment="1">
      <alignment/>
    </xf>
    <xf numFmtId="164" fontId="7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right"/>
    </xf>
    <xf numFmtId="0" fontId="0" fillId="34" borderId="0" xfId="0" applyNumberFormat="1" applyFill="1" applyAlignment="1">
      <alignment horizontal="right"/>
    </xf>
    <xf numFmtId="0" fontId="0" fillId="34" borderId="0" xfId="0" applyNumberFormat="1" applyFill="1" applyAlignment="1" quotePrefix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8" fillId="34" borderId="0" xfId="0" applyFont="1" applyFill="1" applyAlignment="1">
      <alignment/>
    </xf>
    <xf numFmtId="0" fontId="8" fillId="34" borderId="0" xfId="0" applyNumberFormat="1" applyFont="1" applyFill="1" applyAlignment="1">
      <alignment/>
    </xf>
    <xf numFmtId="164" fontId="9" fillId="34" borderId="0" xfId="0" applyFont="1" applyFill="1" applyAlignment="1">
      <alignment/>
    </xf>
    <xf numFmtId="0" fontId="10" fillId="34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Border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35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49" fontId="1" fillId="33" borderId="0" xfId="0" applyNumberFormat="1" applyFont="1" applyFill="1" applyAlignment="1" quotePrefix="1">
      <alignment/>
    </xf>
    <xf numFmtId="49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0" fillId="36" borderId="0" xfId="0" applyNumberFormat="1" applyFill="1" applyAlignment="1">
      <alignment/>
    </xf>
    <xf numFmtId="0" fontId="1" fillId="36" borderId="0" xfId="0" applyNumberFormat="1" applyFont="1" applyFill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4" fillId="34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Alignment="1">
      <alignment horizontal="right"/>
    </xf>
    <xf numFmtId="165" fontId="1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15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1" fillId="34" borderId="0" xfId="0" applyNumberFormat="1" applyFont="1" applyFill="1" applyAlignment="1" quotePrefix="1">
      <alignment horizontal="righ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2" fillId="0" borderId="0" xfId="0" applyNumberFormat="1" applyFont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6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8" fillId="34" borderId="0" xfId="0" applyNumberFormat="1" applyFont="1" applyFill="1" applyAlignment="1" quotePrefix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Alignment="1">
      <alignment horizontal="left"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0" fontId="6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0" fontId="1" fillId="33" borderId="0" xfId="0" applyNumberFormat="1" applyFont="1" applyFill="1" applyAlignment="1" quotePrefix="1">
      <alignment horizontal="center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6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5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164" fontId="0" fillId="34" borderId="0" xfId="0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35" borderId="0" xfId="0" applyFill="1" applyAlignment="1">
      <alignment horizontal="right"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164" fontId="0" fillId="0" borderId="0" xfId="0" applyAlignment="1">
      <alignment vertical="top"/>
    </xf>
    <xf numFmtId="0" fontId="0" fillId="0" borderId="0" xfId="0" applyNumberFormat="1" applyAlignment="1">
      <alignment vertical="top"/>
    </xf>
    <xf numFmtId="3" fontId="0" fillId="35" borderId="0" xfId="0" applyNumberFormat="1" applyFill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164" fontId="18" fillId="0" borderId="11" xfId="0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 wrapText="1"/>
    </xf>
    <xf numFmtId="1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164" fontId="17" fillId="35" borderId="13" xfId="0" applyFont="1" applyFill="1" applyBorder="1" applyAlignment="1">
      <alignment horizontal="left" vertical="center" wrapText="1"/>
    </xf>
    <xf numFmtId="164" fontId="17" fillId="35" borderId="14" xfId="0" applyFont="1" applyFill="1" applyBorder="1" applyAlignment="1">
      <alignment horizontal="left" wrapText="1"/>
    </xf>
    <xf numFmtId="164" fontId="17" fillId="35" borderId="11" xfId="0" applyFont="1" applyFill="1" applyBorder="1" applyAlignment="1">
      <alignment horizontal="right" wrapText="1"/>
    </xf>
    <xf numFmtId="164" fontId="17" fillId="35" borderId="15" xfId="0" applyFont="1" applyFill="1" applyBorder="1" applyAlignment="1">
      <alignment horizontal="left" wrapText="1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5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7" borderId="0" xfId="0" applyNumberFormat="1" applyFill="1" applyAlignment="1" quotePrefix="1">
      <alignment horizontal="right"/>
    </xf>
    <xf numFmtId="3" fontId="0" fillId="37" borderId="0" xfId="0" applyNumberForma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ill="1" applyBorder="1" applyAlignment="1" quotePrefix="1">
      <alignment horizontal="right"/>
    </xf>
    <xf numFmtId="3" fontId="0" fillId="37" borderId="10" xfId="0" applyNumberFormat="1" applyFill="1" applyBorder="1" applyAlignment="1" quotePrefix="1">
      <alignment horizontal="right"/>
    </xf>
    <xf numFmtId="3" fontId="1" fillId="34" borderId="0" xfId="0" applyNumberFormat="1" applyFont="1" applyFill="1" applyAlignment="1" quotePrefix="1">
      <alignment horizontal="right"/>
    </xf>
    <xf numFmtId="3" fontId="1" fillId="37" borderId="0" xfId="0" applyNumberFormat="1" applyFont="1" applyFill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 quotePrefix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7" borderId="0" xfId="0" applyNumberFormat="1" applyFill="1" applyBorder="1" applyAlignment="1" quotePrefix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8" fillId="37" borderId="0" xfId="0" applyNumberFormat="1" applyFont="1" applyFill="1" applyAlignment="1">
      <alignment/>
    </xf>
    <xf numFmtId="0" fontId="0" fillId="35" borderId="0" xfId="0" applyNumberForma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3" fontId="0" fillId="35" borderId="0" xfId="0" applyNumberFormat="1" applyFill="1" applyAlignment="1" quotePrefix="1">
      <alignment horizontal="right"/>
    </xf>
    <xf numFmtId="3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0" fontId="0" fillId="35" borderId="0" xfId="0" applyNumberFormat="1" applyFill="1" applyAlignment="1" quotePrefix="1">
      <alignment horizontal="right"/>
    </xf>
    <xf numFmtId="2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/>
    </xf>
    <xf numFmtId="2" fontId="8" fillId="34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 horizontal="right"/>
    </xf>
    <xf numFmtId="166" fontId="8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 quotePrefix="1">
      <alignment horizontal="right"/>
    </xf>
    <xf numFmtId="180" fontId="0" fillId="34" borderId="0" xfId="0" applyNumberFormat="1" applyFill="1" applyAlignment="1">
      <alignment horizontal="right"/>
    </xf>
    <xf numFmtId="3" fontId="18" fillId="34" borderId="12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8" fontId="8" fillId="0" borderId="0" xfId="0" applyNumberFormat="1" applyFont="1" applyFill="1" applyAlignment="1">
      <alignment/>
    </xf>
    <xf numFmtId="1" fontId="8" fillId="34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 vertical="center" wrapText="1"/>
    </xf>
    <xf numFmtId="168" fontId="17" fillId="35" borderId="16" xfId="0" applyNumberFormat="1" applyFont="1" applyFill="1" applyBorder="1" applyAlignment="1">
      <alignment horizontal="center" vertical="center" wrapText="1"/>
    </xf>
    <xf numFmtId="168" fontId="17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51"/>
  <sheetViews>
    <sheetView showGridLines="0" zoomScalePageLayoutView="0" workbookViewId="0" topLeftCell="A1">
      <selection activeCell="D3" sqref="D3"/>
    </sheetView>
  </sheetViews>
  <sheetFormatPr defaultColWidth="8.8515625" defaultRowHeight="12.75"/>
  <cols>
    <col min="1" max="1" width="8.8515625" style="0" customWidth="1"/>
    <col min="2" max="2" width="56.28125" style="0" bestFit="1" customWidth="1"/>
    <col min="3" max="3" width="56.140625" style="0" bestFit="1" customWidth="1"/>
    <col min="4" max="4" width="21.421875" style="0" bestFit="1" customWidth="1"/>
    <col min="5" max="5" width="10.8515625" style="0" customWidth="1"/>
    <col min="6" max="7" width="9.28125" style="0" customWidth="1"/>
    <col min="8" max="12" width="10.140625" style="0" bestFit="1" customWidth="1"/>
  </cols>
  <sheetData>
    <row r="1" spans="2:18" s="2" customFormat="1" ht="18">
      <c r="B1" s="29" t="s">
        <v>170</v>
      </c>
      <c r="C1" s="29" t="s">
        <v>299</v>
      </c>
      <c r="D1" s="29"/>
      <c r="E1" s="29"/>
      <c r="F1" s="29"/>
      <c r="G1" s="29"/>
      <c r="H1" s="29"/>
      <c r="I1" s="29"/>
      <c r="J1" s="29"/>
      <c r="K1" s="29"/>
      <c r="L1" s="29"/>
      <c r="M1" s="15"/>
      <c r="N1" s="15"/>
      <c r="O1" s="15"/>
      <c r="P1" s="15"/>
      <c r="Q1" s="15"/>
      <c r="R1" s="15"/>
    </row>
    <row r="2" spans="5:27" s="2" customFormat="1" ht="12.75">
      <c r="E2" s="75"/>
      <c r="F2" s="75"/>
      <c r="G2" s="75"/>
      <c r="H2" s="75"/>
      <c r="I2" s="75"/>
      <c r="J2" s="75"/>
      <c r="K2" s="75"/>
      <c r="L2" s="75"/>
      <c r="M2" s="15"/>
      <c r="N2" s="15"/>
      <c r="O2" s="15"/>
      <c r="P2" s="15"/>
      <c r="Q2" s="15"/>
      <c r="R2" s="15"/>
      <c r="Z2" s="23"/>
      <c r="AA2" s="23"/>
    </row>
    <row r="3" spans="1:21" ht="12.75">
      <c r="A3" s="120"/>
      <c r="B3" s="121" t="s">
        <v>424</v>
      </c>
      <c r="C3" s="121" t="s">
        <v>425</v>
      </c>
      <c r="D3" s="72" t="s">
        <v>514</v>
      </c>
      <c r="E3" s="157" t="s">
        <v>489</v>
      </c>
      <c r="F3" s="157" t="s">
        <v>485</v>
      </c>
      <c r="G3" s="157" t="s">
        <v>486</v>
      </c>
      <c r="H3" s="157" t="s">
        <v>471</v>
      </c>
      <c r="I3" s="157" t="s">
        <v>472</v>
      </c>
      <c r="J3" s="157" t="s">
        <v>473</v>
      </c>
      <c r="K3" s="157" t="s">
        <v>474</v>
      </c>
      <c r="L3" s="157" t="s">
        <v>303</v>
      </c>
      <c r="M3" s="8"/>
      <c r="N3" s="8"/>
      <c r="O3" s="8"/>
      <c r="P3" s="8"/>
      <c r="Q3" s="8"/>
      <c r="R3" s="8"/>
      <c r="S3" s="8"/>
      <c r="T3" s="8"/>
      <c r="U3" s="8"/>
    </row>
    <row r="4" spans="2:22" ht="12.75">
      <c r="B4" t="s">
        <v>316</v>
      </c>
      <c r="C4" t="s">
        <v>317</v>
      </c>
      <c r="D4" s="6">
        <v>6</v>
      </c>
      <c r="E4" s="160">
        <v>27507</v>
      </c>
      <c r="F4" s="123">
        <v>27108</v>
      </c>
      <c r="G4" s="160">
        <v>27915</v>
      </c>
      <c r="H4" s="123">
        <v>28327</v>
      </c>
      <c r="I4" s="129">
        <v>28159</v>
      </c>
      <c r="J4" s="123">
        <v>27438</v>
      </c>
      <c r="K4" s="126">
        <v>27339</v>
      </c>
      <c r="L4" s="123">
        <v>27513</v>
      </c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2.75">
      <c r="B5" s="143" t="s">
        <v>318</v>
      </c>
      <c r="C5" t="s">
        <v>319</v>
      </c>
      <c r="D5" s="144">
        <v>5</v>
      </c>
      <c r="E5" s="75">
        <v>-20966</v>
      </c>
      <c r="F5" s="145">
        <v>-20551</v>
      </c>
      <c r="G5" s="160">
        <v>-21232</v>
      </c>
      <c r="H5" s="145">
        <v>-21995</v>
      </c>
      <c r="I5" s="146">
        <v>-22908</v>
      </c>
      <c r="J5" s="145">
        <v>-21941</v>
      </c>
      <c r="K5" s="147">
        <v>-21623</v>
      </c>
      <c r="L5" s="145">
        <v>-21718</v>
      </c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t="s">
        <v>171</v>
      </c>
      <c r="B6" s="95" t="s">
        <v>320</v>
      </c>
      <c r="C6" s="95" t="s">
        <v>321</v>
      </c>
      <c r="D6" s="101"/>
      <c r="E6" s="129">
        <v>6541</v>
      </c>
      <c r="F6" s="123">
        <f aca="true" t="shared" si="0" ref="F6:L6">F4+F5</f>
        <v>6557</v>
      </c>
      <c r="G6" s="129">
        <f t="shared" si="0"/>
        <v>6683</v>
      </c>
      <c r="H6" s="123">
        <f t="shared" si="0"/>
        <v>6332</v>
      </c>
      <c r="I6" s="129">
        <f t="shared" si="0"/>
        <v>5251</v>
      </c>
      <c r="J6" s="123">
        <f t="shared" si="0"/>
        <v>5497</v>
      </c>
      <c r="K6" s="126">
        <f t="shared" si="0"/>
        <v>5716</v>
      </c>
      <c r="L6" s="123">
        <f t="shared" si="0"/>
        <v>5795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12.75">
      <c r="B7" t="s">
        <v>322</v>
      </c>
      <c r="C7" t="s">
        <v>433</v>
      </c>
      <c r="D7" s="6">
        <v>5</v>
      </c>
      <c r="E7" s="75">
        <v>-3976</v>
      </c>
      <c r="F7" s="123">
        <v>-3992</v>
      </c>
      <c r="G7" s="160">
        <v>-4328</v>
      </c>
      <c r="H7" s="123">
        <v>-4204</v>
      </c>
      <c r="I7" s="129">
        <v>-3409</v>
      </c>
      <c r="J7" s="123">
        <v>-3464</v>
      </c>
      <c r="K7" s="126">
        <v>-3520</v>
      </c>
      <c r="L7" s="123">
        <v>-3337</v>
      </c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ht="12.75">
      <c r="B8" t="s">
        <v>323</v>
      </c>
      <c r="C8" t="s">
        <v>324</v>
      </c>
      <c r="D8" s="6">
        <v>5</v>
      </c>
      <c r="E8" s="160">
        <v>-632</v>
      </c>
      <c r="F8" s="123">
        <v>-387</v>
      </c>
      <c r="G8" s="160">
        <v>-439</v>
      </c>
      <c r="H8" s="123" t="s">
        <v>325</v>
      </c>
      <c r="I8" s="129">
        <v>-3534</v>
      </c>
      <c r="J8" s="123">
        <v>-3534</v>
      </c>
      <c r="K8" s="126">
        <v>-3534</v>
      </c>
      <c r="L8" s="123">
        <v>-3534</v>
      </c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ht="12.75">
      <c r="B9" t="s">
        <v>326</v>
      </c>
      <c r="C9" t="s">
        <v>327</v>
      </c>
      <c r="D9" s="6"/>
      <c r="E9" s="160">
        <v>3</v>
      </c>
      <c r="F9" s="123">
        <v>11</v>
      </c>
      <c r="G9" s="160">
        <v>13</v>
      </c>
      <c r="H9" s="123">
        <v>8</v>
      </c>
      <c r="I9" s="129">
        <v>-4</v>
      </c>
      <c r="J9" s="123">
        <v>13</v>
      </c>
      <c r="K9" s="126">
        <v>3</v>
      </c>
      <c r="L9" s="123">
        <v>13</v>
      </c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5" customFormat="1" ht="12.75">
      <c r="A10" s="95" t="s">
        <v>171</v>
      </c>
      <c r="B10" s="95" t="s">
        <v>328</v>
      </c>
      <c r="C10" s="95" t="s">
        <v>329</v>
      </c>
      <c r="D10" s="101"/>
      <c r="E10" s="133">
        <f>E6+E7+E9+E8</f>
        <v>1936</v>
      </c>
      <c r="F10" s="125">
        <f>F6+F7+F9+F8</f>
        <v>2189</v>
      </c>
      <c r="G10" s="161">
        <f>G6+G7+G9+G8</f>
        <v>1929</v>
      </c>
      <c r="H10" s="125">
        <f>H6+H7+H9</f>
        <v>2136</v>
      </c>
      <c r="I10" s="133">
        <f>I6+I7+I9</f>
        <v>1838</v>
      </c>
      <c r="J10" s="125">
        <f>J6+J7+J9</f>
        <v>2046</v>
      </c>
      <c r="K10" s="140">
        <f>K6+K7+K9</f>
        <v>2199</v>
      </c>
      <c r="L10" s="125">
        <f>L6+L7+L9</f>
        <v>2471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2:22" ht="12.75">
      <c r="B11" t="s">
        <v>330</v>
      </c>
      <c r="C11" t="s">
        <v>331</v>
      </c>
      <c r="D11" s="6">
        <v>9</v>
      </c>
      <c r="E11" s="2"/>
      <c r="F11" s="123"/>
      <c r="G11" s="160"/>
      <c r="H11" s="123"/>
      <c r="I11" s="129">
        <v>193</v>
      </c>
      <c r="J11" s="123">
        <v>193</v>
      </c>
      <c r="K11" s="126">
        <v>193</v>
      </c>
      <c r="L11" s="123">
        <v>193</v>
      </c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12.75">
      <c r="B12" t="s">
        <v>332</v>
      </c>
      <c r="C12" t="s">
        <v>333</v>
      </c>
      <c r="D12" s="6">
        <v>9</v>
      </c>
      <c r="E12" s="2">
        <v>-288</v>
      </c>
      <c r="F12" s="123">
        <v>-377</v>
      </c>
      <c r="G12" s="160">
        <v>-354</v>
      </c>
      <c r="H12" s="123">
        <v>-625</v>
      </c>
      <c r="I12" s="129">
        <v>-688</v>
      </c>
      <c r="J12" s="123">
        <v>-608</v>
      </c>
      <c r="K12" s="126">
        <v>-496</v>
      </c>
      <c r="L12" s="123">
        <v>-525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5" customFormat="1" ht="12.75">
      <c r="A13" s="95" t="s">
        <v>171</v>
      </c>
      <c r="B13" s="95" t="s">
        <v>334</v>
      </c>
      <c r="C13" s="95" t="s">
        <v>335</v>
      </c>
      <c r="D13" s="101"/>
      <c r="E13" s="133">
        <f aca="true" t="shared" si="1" ref="E13:L13">E10+E12</f>
        <v>1648</v>
      </c>
      <c r="F13" s="125">
        <f t="shared" si="1"/>
        <v>1812</v>
      </c>
      <c r="G13" s="133">
        <f t="shared" si="1"/>
        <v>1575</v>
      </c>
      <c r="H13" s="125">
        <f t="shared" si="1"/>
        <v>1511</v>
      </c>
      <c r="I13" s="133">
        <f t="shared" si="1"/>
        <v>1150</v>
      </c>
      <c r="J13" s="125">
        <f t="shared" si="1"/>
        <v>1438</v>
      </c>
      <c r="K13" s="140">
        <f t="shared" si="1"/>
        <v>1703</v>
      </c>
      <c r="L13" s="125">
        <f t="shared" si="1"/>
        <v>1946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</row>
    <row r="14" spans="2:22" ht="12.75">
      <c r="B14" t="s">
        <v>336</v>
      </c>
      <c r="C14" s="98" t="s">
        <v>337</v>
      </c>
      <c r="D14" s="6">
        <v>10</v>
      </c>
      <c r="E14" s="2"/>
      <c r="F14" s="123"/>
      <c r="G14" s="160">
        <v>-411</v>
      </c>
      <c r="H14" s="123">
        <v>-392</v>
      </c>
      <c r="I14" s="129">
        <v>276</v>
      </c>
      <c r="J14" s="123">
        <v>-185</v>
      </c>
      <c r="K14" s="126">
        <v>-321</v>
      </c>
      <c r="L14" s="123">
        <v>-409</v>
      </c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s="95" customFormat="1" ht="12.75">
      <c r="B15" s="95" t="s">
        <v>338</v>
      </c>
      <c r="C15" s="95" t="s">
        <v>339</v>
      </c>
      <c r="E15" s="133">
        <f aca="true" t="shared" si="2" ref="E15:L15">E13+E14</f>
        <v>1648</v>
      </c>
      <c r="F15" s="125">
        <f t="shared" si="2"/>
        <v>1812</v>
      </c>
      <c r="G15" s="161">
        <f t="shared" si="2"/>
        <v>1164</v>
      </c>
      <c r="H15" s="125">
        <f t="shared" si="2"/>
        <v>1119</v>
      </c>
      <c r="I15" s="133">
        <f t="shared" si="2"/>
        <v>1426</v>
      </c>
      <c r="J15" s="125">
        <f t="shared" si="2"/>
        <v>1253</v>
      </c>
      <c r="K15" s="140">
        <f t="shared" si="2"/>
        <v>1382</v>
      </c>
      <c r="L15" s="125">
        <f t="shared" si="2"/>
        <v>1537</v>
      </c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2:22" ht="12.75">
      <c r="B16" s="95"/>
      <c r="C16" s="95"/>
      <c r="D16" s="95"/>
      <c r="E16" s="230"/>
      <c r="F16" s="123"/>
      <c r="G16" s="160"/>
      <c r="H16" s="123"/>
      <c r="I16" s="129"/>
      <c r="J16" s="123"/>
      <c r="K16" s="126"/>
      <c r="L16" s="123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t="s">
        <v>171</v>
      </c>
      <c r="B17" s="95" t="s">
        <v>340</v>
      </c>
      <c r="C17" s="95" t="s">
        <v>341</v>
      </c>
      <c r="D17" s="95"/>
      <c r="E17" s="230"/>
      <c r="F17" s="123"/>
      <c r="G17" s="160"/>
      <c r="H17" s="123"/>
      <c r="I17" s="129"/>
      <c r="J17" s="123"/>
      <c r="K17" s="126"/>
      <c r="L17" s="123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12.75">
      <c r="B18" t="s">
        <v>342</v>
      </c>
      <c r="C18" t="s">
        <v>343</v>
      </c>
      <c r="E18" s="235">
        <v>1211</v>
      </c>
      <c r="F18" s="123">
        <v>1279</v>
      </c>
      <c r="G18" s="160">
        <v>1165</v>
      </c>
      <c r="H18" s="123">
        <v>1110</v>
      </c>
      <c r="I18" s="129">
        <v>1419</v>
      </c>
      <c r="J18" s="123">
        <v>1248</v>
      </c>
      <c r="K18" s="126">
        <v>1377</v>
      </c>
      <c r="L18" s="123">
        <v>1534</v>
      </c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2.75">
      <c r="B19" t="s">
        <v>344</v>
      </c>
      <c r="C19" t="s">
        <v>345</v>
      </c>
      <c r="E19" s="235">
        <v>43</v>
      </c>
      <c r="F19" s="123">
        <v>14</v>
      </c>
      <c r="G19" s="160">
        <v>-1</v>
      </c>
      <c r="H19" s="123">
        <v>9</v>
      </c>
      <c r="I19" s="129">
        <v>7</v>
      </c>
      <c r="J19" s="123">
        <v>5</v>
      </c>
      <c r="K19" s="126">
        <v>5</v>
      </c>
      <c r="L19" s="123">
        <v>3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6:22" ht="12.75">
      <c r="F20" s="123"/>
      <c r="G20" s="159"/>
      <c r="H20" s="123"/>
      <c r="I20" s="129"/>
      <c r="J20" s="123"/>
      <c r="K20" s="126"/>
      <c r="L20" s="123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12" ht="12.75">
      <c r="A21" t="s">
        <v>171</v>
      </c>
      <c r="B21" s="95" t="s">
        <v>346</v>
      </c>
      <c r="C21" s="95" t="s">
        <v>347</v>
      </c>
      <c r="D21" s="95"/>
      <c r="E21" s="95"/>
      <c r="F21" s="53"/>
      <c r="G21" s="159"/>
      <c r="H21" s="53"/>
      <c r="I21" s="52"/>
      <c r="J21" s="134"/>
      <c r="K21" s="136"/>
      <c r="L21" s="134"/>
    </row>
    <row r="22" spans="2:12" ht="12.75">
      <c r="B22" t="s">
        <v>348</v>
      </c>
      <c r="C22" t="s">
        <v>349</v>
      </c>
      <c r="F22" s="53" t="s">
        <v>325</v>
      </c>
      <c r="G22" s="130" t="s">
        <v>325</v>
      </c>
      <c r="H22" s="53" t="s">
        <v>325</v>
      </c>
      <c r="I22" s="130" t="s">
        <v>325</v>
      </c>
      <c r="J22" s="135" t="s">
        <v>325</v>
      </c>
      <c r="K22" s="137" t="s">
        <v>325</v>
      </c>
      <c r="L22" s="135" t="s">
        <v>325</v>
      </c>
    </row>
    <row r="23" spans="2:12" ht="12.75">
      <c r="B23" t="s">
        <v>350</v>
      </c>
      <c r="C23" t="s">
        <v>351</v>
      </c>
      <c r="E23" s="131" t="s">
        <v>492</v>
      </c>
      <c r="F23" s="127" t="s">
        <v>488</v>
      </c>
      <c r="G23" s="131" t="s">
        <v>487</v>
      </c>
      <c r="H23" s="127" t="s">
        <v>429</v>
      </c>
      <c r="I23" s="131" t="s">
        <v>430</v>
      </c>
      <c r="J23" s="127" t="s">
        <v>428</v>
      </c>
      <c r="K23" s="138" t="s">
        <v>431</v>
      </c>
      <c r="L23" s="127" t="s">
        <v>432</v>
      </c>
    </row>
    <row r="24" spans="2:12" ht="12.75">
      <c r="B24" t="s">
        <v>353</v>
      </c>
      <c r="C24" t="s">
        <v>354</v>
      </c>
      <c r="E24" s="131" t="s">
        <v>492</v>
      </c>
      <c r="F24" s="127" t="s">
        <v>488</v>
      </c>
      <c r="G24" s="131" t="s">
        <v>487</v>
      </c>
      <c r="H24" s="127" t="s">
        <v>429</v>
      </c>
      <c r="I24" s="131" t="s">
        <v>430</v>
      </c>
      <c r="J24" s="127" t="s">
        <v>428</v>
      </c>
      <c r="K24" s="138" t="s">
        <v>431</v>
      </c>
      <c r="L24" s="127" t="s">
        <v>432</v>
      </c>
    </row>
    <row r="25" spans="2:12" ht="12.75">
      <c r="B25" t="s">
        <v>355</v>
      </c>
      <c r="C25" t="s">
        <v>356</v>
      </c>
      <c r="F25" s="53"/>
      <c r="G25" s="36" t="s">
        <v>39</v>
      </c>
      <c r="H25" s="53" t="s">
        <v>39</v>
      </c>
      <c r="I25" s="36" t="s">
        <v>39</v>
      </c>
      <c r="J25" s="53" t="s">
        <v>39</v>
      </c>
      <c r="K25" s="55" t="s">
        <v>39</v>
      </c>
      <c r="L25" s="53" t="s">
        <v>39</v>
      </c>
    </row>
    <row r="26" spans="1:12" ht="12.75">
      <c r="A26" t="s">
        <v>171</v>
      </c>
      <c r="B26" s="95" t="s">
        <v>357</v>
      </c>
      <c r="C26" s="95" t="s">
        <v>358</v>
      </c>
      <c r="D26" s="95"/>
      <c r="E26" s="160">
        <v>1211</v>
      </c>
      <c r="F26" s="123">
        <v>1279</v>
      </c>
      <c r="G26" s="160">
        <v>1165</v>
      </c>
      <c r="H26" s="123">
        <v>1110</v>
      </c>
      <c r="I26" s="129">
        <v>1419</v>
      </c>
      <c r="J26" s="123">
        <v>1248</v>
      </c>
      <c r="K26" s="126">
        <v>1377</v>
      </c>
      <c r="L26" s="123">
        <v>1534</v>
      </c>
    </row>
    <row r="27" spans="2:12" ht="12.75">
      <c r="B27" t="s">
        <v>359</v>
      </c>
      <c r="C27" s="122" t="s">
        <v>360</v>
      </c>
      <c r="E27" s="160">
        <v>702</v>
      </c>
      <c r="F27" s="128">
        <v>702.3</v>
      </c>
      <c r="G27" s="160">
        <v>702.3</v>
      </c>
      <c r="H27" s="128">
        <v>702.3</v>
      </c>
      <c r="I27" s="132">
        <v>702.2</v>
      </c>
      <c r="J27" s="123">
        <v>702.1</v>
      </c>
      <c r="K27" s="126">
        <v>702.1</v>
      </c>
      <c r="L27" s="123">
        <v>702</v>
      </c>
    </row>
    <row r="28" spans="2:12" ht="12.75">
      <c r="B28" t="s">
        <v>361</v>
      </c>
      <c r="C28" t="s">
        <v>362</v>
      </c>
      <c r="E28" s="160">
        <v>0</v>
      </c>
      <c r="F28" s="53">
        <v>0</v>
      </c>
      <c r="G28" s="160">
        <v>0</v>
      </c>
      <c r="H28" s="53">
        <v>0</v>
      </c>
      <c r="I28" s="129">
        <v>0.2</v>
      </c>
      <c r="J28" s="123">
        <v>0.2</v>
      </c>
      <c r="K28" s="126">
        <v>0.2</v>
      </c>
      <c r="L28" s="123">
        <v>0.4</v>
      </c>
    </row>
    <row r="29" spans="2:12" ht="12.75">
      <c r="B29" s="95" t="s">
        <v>363</v>
      </c>
      <c r="C29" s="95" t="s">
        <v>364</v>
      </c>
      <c r="D29" s="95"/>
      <c r="E29" s="236">
        <v>702</v>
      </c>
      <c r="F29" s="128">
        <f aca="true" t="shared" si="3" ref="F29:L29">SUM(F27:F28)</f>
        <v>702.3</v>
      </c>
      <c r="G29" s="160">
        <f t="shared" si="3"/>
        <v>702.3</v>
      </c>
      <c r="H29" s="128">
        <f t="shared" si="3"/>
        <v>702.3</v>
      </c>
      <c r="I29" s="132">
        <f t="shared" si="3"/>
        <v>702.4000000000001</v>
      </c>
      <c r="J29" s="128">
        <f t="shared" si="3"/>
        <v>702.3000000000001</v>
      </c>
      <c r="K29" s="139">
        <f t="shared" si="3"/>
        <v>702.3000000000001</v>
      </c>
      <c r="L29" s="128">
        <f t="shared" si="3"/>
        <v>702.4</v>
      </c>
    </row>
    <row r="30" spans="2:12" ht="12.75">
      <c r="B30" s="95"/>
      <c r="C30" s="95"/>
      <c r="D30" s="95"/>
      <c r="E30" s="95"/>
      <c r="F30" s="53"/>
      <c r="G30" s="161"/>
      <c r="H30" s="53"/>
      <c r="I30" s="96"/>
      <c r="J30" s="123"/>
      <c r="K30" s="96"/>
      <c r="L30" s="123"/>
    </row>
    <row r="31" spans="1:12" ht="12.75">
      <c r="A31" s="121"/>
      <c r="B31" s="121" t="s">
        <v>426</v>
      </c>
      <c r="C31" s="121" t="s">
        <v>427</v>
      </c>
      <c r="D31" s="121"/>
      <c r="E31" s="121"/>
      <c r="F31" s="121"/>
      <c r="G31" s="162"/>
      <c r="H31" s="121"/>
      <c r="I31" s="121"/>
      <c r="J31" s="121"/>
      <c r="K31" s="121"/>
      <c r="L31" s="121"/>
    </row>
    <row r="32" spans="2:12" ht="12.75">
      <c r="B32" t="s">
        <v>365</v>
      </c>
      <c r="C32" t="s">
        <v>366</v>
      </c>
      <c r="E32" s="129">
        <v>6393</v>
      </c>
      <c r="F32" s="123">
        <v>6197</v>
      </c>
      <c r="G32" s="160">
        <v>6650</v>
      </c>
      <c r="H32" s="123">
        <v>6476</v>
      </c>
      <c r="I32" s="129">
        <v>6289</v>
      </c>
      <c r="J32" s="123">
        <v>5807</v>
      </c>
      <c r="K32" s="126">
        <v>5671</v>
      </c>
      <c r="L32" s="123">
        <v>5564</v>
      </c>
    </row>
    <row r="33" spans="2:12" ht="12.75">
      <c r="B33" t="s">
        <v>367</v>
      </c>
      <c r="C33" t="s">
        <v>368</v>
      </c>
      <c r="E33" s="129">
        <v>10338</v>
      </c>
      <c r="F33" s="123">
        <v>10147</v>
      </c>
      <c r="G33" s="160">
        <v>10474</v>
      </c>
      <c r="H33" s="123">
        <v>10466</v>
      </c>
      <c r="I33" s="129">
        <v>10256</v>
      </c>
      <c r="J33" s="123">
        <v>9642</v>
      </c>
      <c r="K33" s="126">
        <v>9203</v>
      </c>
      <c r="L33" s="123">
        <v>9279</v>
      </c>
    </row>
    <row r="34" spans="2:12" ht="12.75">
      <c r="B34" t="s">
        <v>369</v>
      </c>
      <c r="C34" t="s">
        <v>370</v>
      </c>
      <c r="E34" s="129">
        <v>6960</v>
      </c>
      <c r="F34" s="123">
        <v>6946</v>
      </c>
      <c r="G34" s="160">
        <v>6958</v>
      </c>
      <c r="H34" s="123">
        <v>7495</v>
      </c>
      <c r="I34" s="129">
        <v>7746</v>
      </c>
      <c r="J34" s="123">
        <v>8400</v>
      </c>
      <c r="K34" s="126">
        <v>8582</v>
      </c>
      <c r="L34" s="123">
        <v>8713</v>
      </c>
    </row>
    <row r="35" spans="2:12" ht="12.75">
      <c r="B35" t="s">
        <v>371</v>
      </c>
      <c r="C35" t="s">
        <v>372</v>
      </c>
      <c r="E35" s="129">
        <v>4201</v>
      </c>
      <c r="F35" s="123">
        <v>4145</v>
      </c>
      <c r="G35" s="160">
        <v>4304</v>
      </c>
      <c r="H35" s="123">
        <f>SUM(H36:H37)</f>
        <v>4333</v>
      </c>
      <c r="I35" s="129">
        <f>SUM(I36:I37)</f>
        <v>4225</v>
      </c>
      <c r="J35" s="123">
        <f>SUM(J36:J37)</f>
        <v>3956</v>
      </c>
      <c r="K35" s="126">
        <f>SUM(K36:K37)</f>
        <v>4239</v>
      </c>
      <c r="L35" s="123">
        <f>SUM(L36:L37)</f>
        <v>4290</v>
      </c>
    </row>
    <row r="36" spans="2:12" ht="12.75">
      <c r="B36" t="s">
        <v>373</v>
      </c>
      <c r="C36" t="s">
        <v>374</v>
      </c>
      <c r="E36" s="129">
        <v>2282</v>
      </c>
      <c r="F36" s="123">
        <v>2457</v>
      </c>
      <c r="G36" s="160">
        <v>2475</v>
      </c>
      <c r="H36" s="123">
        <v>2535</v>
      </c>
      <c r="I36" s="129">
        <v>2373</v>
      </c>
      <c r="J36" s="123">
        <v>2245</v>
      </c>
      <c r="K36" s="126">
        <v>2198</v>
      </c>
      <c r="L36" s="123">
        <v>2199</v>
      </c>
    </row>
    <row r="37" spans="2:12" ht="12.75">
      <c r="B37" t="s">
        <v>375</v>
      </c>
      <c r="C37" t="s">
        <v>376</v>
      </c>
      <c r="E37" s="129">
        <v>1919</v>
      </c>
      <c r="F37" s="123">
        <v>1688</v>
      </c>
      <c r="G37" s="160">
        <v>1829</v>
      </c>
      <c r="H37" s="123">
        <v>1798</v>
      </c>
      <c r="I37" s="129">
        <v>1852</v>
      </c>
      <c r="J37" s="123">
        <v>1711</v>
      </c>
      <c r="K37" s="126">
        <v>2041</v>
      </c>
      <c r="L37" s="123">
        <v>2091</v>
      </c>
    </row>
    <row r="38" spans="2:12" ht="12.75">
      <c r="B38" t="s">
        <v>377</v>
      </c>
      <c r="C38" t="s">
        <v>208</v>
      </c>
      <c r="E38" s="129">
        <v>417.0000000000008</v>
      </c>
      <c r="F38" s="123">
        <v>420</v>
      </c>
      <c r="G38" s="160">
        <v>261</v>
      </c>
      <c r="H38" s="123">
        <v>371</v>
      </c>
      <c r="I38" s="129">
        <v>379</v>
      </c>
      <c r="J38" s="123">
        <v>369</v>
      </c>
      <c r="K38" s="126">
        <v>351</v>
      </c>
      <c r="L38" s="123">
        <v>369</v>
      </c>
    </row>
    <row r="39" spans="2:12" ht="12.75">
      <c r="B39" t="s">
        <v>378</v>
      </c>
      <c r="C39" t="s">
        <v>379</v>
      </c>
      <c r="E39" s="129">
        <v>-802</v>
      </c>
      <c r="F39" s="123">
        <v>-747</v>
      </c>
      <c r="G39" s="160">
        <v>-732</v>
      </c>
      <c r="H39" s="123">
        <v>-814</v>
      </c>
      <c r="I39" s="129">
        <v>-736</v>
      </c>
      <c r="J39" s="123">
        <v>-736</v>
      </c>
      <c r="K39" s="126">
        <v>-707</v>
      </c>
      <c r="L39" s="123">
        <v>-702</v>
      </c>
    </row>
    <row r="40" spans="2:12" ht="12.75">
      <c r="B40" s="95" t="s">
        <v>380</v>
      </c>
      <c r="C40" s="95" t="s">
        <v>381</v>
      </c>
      <c r="D40" s="95"/>
      <c r="E40" s="133">
        <f aca="true" t="shared" si="4" ref="E40:L40">E32+E33+E34+E35+E38+E39</f>
        <v>27507</v>
      </c>
      <c r="F40" s="125">
        <f t="shared" si="4"/>
        <v>27108</v>
      </c>
      <c r="G40" s="133">
        <f t="shared" si="4"/>
        <v>27915</v>
      </c>
      <c r="H40" s="125">
        <f t="shared" si="4"/>
        <v>28327</v>
      </c>
      <c r="I40" s="133">
        <f t="shared" si="4"/>
        <v>28159</v>
      </c>
      <c r="J40" s="125">
        <f t="shared" si="4"/>
        <v>27438</v>
      </c>
      <c r="K40" s="140">
        <f t="shared" si="4"/>
        <v>27339</v>
      </c>
      <c r="L40" s="125">
        <f t="shared" si="4"/>
        <v>27513</v>
      </c>
    </row>
    <row r="41" spans="2:12" ht="12.75">
      <c r="B41" s="95"/>
      <c r="C41" s="95"/>
      <c r="D41" s="95"/>
      <c r="E41" s="95"/>
      <c r="F41" s="102"/>
      <c r="G41" s="161"/>
      <c r="H41" s="102"/>
      <c r="I41" s="133"/>
      <c r="J41" s="125"/>
      <c r="K41" s="140"/>
      <c r="L41" s="125"/>
    </row>
    <row r="42" spans="1:12" ht="12.75">
      <c r="A42" t="s">
        <v>171</v>
      </c>
      <c r="B42" s="95" t="s">
        <v>384</v>
      </c>
      <c r="C42" s="95" t="s">
        <v>385</v>
      </c>
      <c r="D42" s="95"/>
      <c r="E42" s="95"/>
      <c r="F42" s="119"/>
      <c r="G42" s="161"/>
      <c r="H42" s="119"/>
      <c r="I42" s="79"/>
      <c r="J42" s="119"/>
      <c r="K42" s="141"/>
      <c r="L42" s="119"/>
    </row>
    <row r="43" spans="2:12" ht="12.75" customHeight="1">
      <c r="B43" t="s">
        <v>365</v>
      </c>
      <c r="C43" t="s">
        <v>366</v>
      </c>
      <c r="E43" s="235">
        <v>901</v>
      </c>
      <c r="F43" s="123">
        <v>810</v>
      </c>
      <c r="G43" s="160">
        <v>820</v>
      </c>
      <c r="H43" s="123">
        <v>704</v>
      </c>
      <c r="I43" s="129">
        <v>712</v>
      </c>
      <c r="J43" s="123">
        <v>734</v>
      </c>
      <c r="K43" s="126">
        <v>721</v>
      </c>
      <c r="L43" s="123">
        <v>745</v>
      </c>
    </row>
    <row r="44" spans="2:12" ht="12.75">
      <c r="B44" t="s">
        <v>367</v>
      </c>
      <c r="C44" t="s">
        <v>368</v>
      </c>
      <c r="E44" s="235">
        <v>965</v>
      </c>
      <c r="F44" s="123">
        <v>1102</v>
      </c>
      <c r="G44" s="160">
        <v>1015</v>
      </c>
      <c r="H44" s="123">
        <v>864</v>
      </c>
      <c r="I44" s="129">
        <v>619</v>
      </c>
      <c r="J44" s="123">
        <v>633</v>
      </c>
      <c r="K44" s="126">
        <v>577</v>
      </c>
      <c r="L44" s="123">
        <v>546</v>
      </c>
    </row>
    <row r="45" spans="2:12" ht="12.75">
      <c r="B45" t="s">
        <v>369</v>
      </c>
      <c r="C45" t="s">
        <v>370</v>
      </c>
      <c r="E45" s="235">
        <v>149</v>
      </c>
      <c r="F45" s="123">
        <v>172</v>
      </c>
      <c r="G45" s="160">
        <v>11</v>
      </c>
      <c r="H45" s="123">
        <v>81</v>
      </c>
      <c r="I45" s="129">
        <v>109</v>
      </c>
      <c r="J45" s="123">
        <v>319</v>
      </c>
      <c r="K45" s="126">
        <v>457</v>
      </c>
      <c r="L45" s="123">
        <v>608</v>
      </c>
    </row>
    <row r="46" spans="2:12" ht="12.75">
      <c r="B46" t="s">
        <v>371</v>
      </c>
      <c r="C46" t="s">
        <v>372</v>
      </c>
      <c r="E46" s="235">
        <v>661</v>
      </c>
      <c r="F46" s="123">
        <v>617</v>
      </c>
      <c r="G46" s="160">
        <v>642</v>
      </c>
      <c r="H46" s="123">
        <f>SUM(H47:H48)</f>
        <v>583</v>
      </c>
      <c r="I46" s="129">
        <f>SUM(I47:I48)</f>
        <v>518</v>
      </c>
      <c r="J46" s="123">
        <f>SUM(J47:J48)</f>
        <v>481</v>
      </c>
      <c r="K46" s="126">
        <f>SUM(K47:K48)</f>
        <v>553</v>
      </c>
      <c r="L46" s="123">
        <f>SUM(L47:L48)</f>
        <v>655</v>
      </c>
    </row>
    <row r="47" spans="2:12" ht="12.75">
      <c r="B47" t="s">
        <v>373</v>
      </c>
      <c r="C47" t="s">
        <v>374</v>
      </c>
      <c r="E47" s="235">
        <v>251</v>
      </c>
      <c r="F47" s="123">
        <v>336</v>
      </c>
      <c r="G47" s="160">
        <v>378</v>
      </c>
      <c r="H47" s="123">
        <v>288</v>
      </c>
      <c r="I47" s="129">
        <v>150</v>
      </c>
      <c r="J47" s="123">
        <v>78</v>
      </c>
      <c r="K47" s="126">
        <v>91</v>
      </c>
      <c r="L47" s="123">
        <v>83</v>
      </c>
    </row>
    <row r="48" spans="2:12" ht="12.75">
      <c r="B48" t="s">
        <v>375</v>
      </c>
      <c r="C48" t="s">
        <v>376</v>
      </c>
      <c r="E48" s="235">
        <v>410</v>
      </c>
      <c r="F48" s="123">
        <v>281</v>
      </c>
      <c r="G48" s="160">
        <v>264</v>
      </c>
      <c r="H48" s="123">
        <v>295</v>
      </c>
      <c r="I48" s="129">
        <v>368</v>
      </c>
      <c r="J48" s="123">
        <v>403</v>
      </c>
      <c r="K48" s="126">
        <v>462</v>
      </c>
      <c r="L48" s="123">
        <v>572</v>
      </c>
    </row>
    <row r="49" spans="2:12" ht="12.75">
      <c r="B49" t="s">
        <v>377</v>
      </c>
      <c r="C49" t="s">
        <v>208</v>
      </c>
      <c r="E49" s="235">
        <v>-108</v>
      </c>
      <c r="F49" s="123">
        <v>-125</v>
      </c>
      <c r="G49" s="160">
        <v>-120</v>
      </c>
      <c r="H49" s="123">
        <v>-96</v>
      </c>
      <c r="I49" s="129">
        <v>-120</v>
      </c>
      <c r="J49" s="123">
        <v>-121</v>
      </c>
      <c r="K49" s="126">
        <v>-109</v>
      </c>
      <c r="L49" s="123">
        <v>-83</v>
      </c>
    </row>
    <row r="50" spans="2:12" ht="12.75">
      <c r="B50" t="s">
        <v>378</v>
      </c>
      <c r="C50" t="s">
        <v>379</v>
      </c>
      <c r="F50" s="103" t="s">
        <v>39</v>
      </c>
      <c r="G50" s="37" t="s">
        <v>39</v>
      </c>
      <c r="H50" s="103" t="s">
        <v>39</v>
      </c>
      <c r="I50" s="37" t="s">
        <v>39</v>
      </c>
      <c r="J50" s="103" t="s">
        <v>39</v>
      </c>
      <c r="K50" s="142" t="s">
        <v>39</v>
      </c>
      <c r="L50" s="103" t="s">
        <v>39</v>
      </c>
    </row>
    <row r="51" spans="2:12" ht="12.75">
      <c r="B51" s="95" t="s">
        <v>380</v>
      </c>
      <c r="C51" s="95" t="s">
        <v>381</v>
      </c>
      <c r="D51" s="95"/>
      <c r="E51" s="133">
        <f aca="true" t="shared" si="5" ref="E51:L51">E43+E44+E45+E46+E49</f>
        <v>2568</v>
      </c>
      <c r="F51" s="125">
        <f t="shared" si="5"/>
        <v>2576</v>
      </c>
      <c r="G51" s="161">
        <f t="shared" si="5"/>
        <v>2368</v>
      </c>
      <c r="H51" s="125">
        <f t="shared" si="5"/>
        <v>2136</v>
      </c>
      <c r="I51" s="133">
        <f t="shared" si="5"/>
        <v>1838</v>
      </c>
      <c r="J51" s="125">
        <f t="shared" si="5"/>
        <v>2046</v>
      </c>
      <c r="K51" s="140">
        <f t="shared" si="5"/>
        <v>2199</v>
      </c>
      <c r="L51" s="125">
        <f t="shared" si="5"/>
        <v>2471</v>
      </c>
    </row>
  </sheetData>
  <sheetProtection/>
  <printOptions/>
  <pageMargins left="0.75" right="0.75" top="1" bottom="1" header="0.5" footer="0.5"/>
  <pageSetup horizontalDpi="525" verticalDpi="525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AA30"/>
  <sheetViews>
    <sheetView zoomScalePageLayoutView="0" workbookViewId="0" topLeftCell="C1">
      <selection activeCell="D7" sqref="D7"/>
    </sheetView>
  </sheetViews>
  <sheetFormatPr defaultColWidth="9.140625" defaultRowHeight="12.75"/>
  <cols>
    <col min="1" max="1" width="9.140625" style="77" customWidth="1"/>
    <col min="2" max="2" width="37.28125" style="30" customWidth="1"/>
    <col min="3" max="3" width="32.421875" style="30" customWidth="1"/>
    <col min="4" max="4" width="10.421875" style="30" customWidth="1"/>
    <col min="5" max="5" width="7.00390625" style="30" customWidth="1"/>
    <col min="6" max="6" width="6.8515625" style="30" customWidth="1"/>
    <col min="7" max="8" width="5.00390625" style="30" bestFit="1" customWidth="1"/>
    <col min="9" max="9" width="6.421875" style="30" bestFit="1" customWidth="1"/>
    <col min="10" max="13" width="6.00390625" style="30" bestFit="1" customWidth="1"/>
    <col min="14" max="14" width="6.00390625" style="43" bestFit="1" customWidth="1"/>
    <col min="15" max="15" width="5.00390625" style="43" bestFit="1" customWidth="1"/>
    <col min="16" max="18" width="6.00390625" style="30" bestFit="1" customWidth="1"/>
    <col min="19" max="20" width="5.00390625" style="30" bestFit="1" customWidth="1"/>
    <col min="21" max="21" width="6.00390625" style="30" bestFit="1" customWidth="1"/>
    <col min="22" max="25" width="5.00390625" style="30" bestFit="1" customWidth="1"/>
    <col min="26" max="16384" width="9.140625" style="30" customWidth="1"/>
  </cols>
  <sheetData>
    <row r="1" spans="2:16" ht="18">
      <c r="B1" s="31" t="s">
        <v>40</v>
      </c>
      <c r="C1" s="31" t="s">
        <v>294</v>
      </c>
      <c r="D1" s="31"/>
      <c r="E1" s="31"/>
      <c r="F1" s="31"/>
      <c r="G1" s="31"/>
      <c r="H1" s="31"/>
      <c r="I1" s="71"/>
      <c r="J1" s="31"/>
      <c r="K1" s="31"/>
      <c r="L1" s="31"/>
      <c r="M1" s="31"/>
      <c r="N1" s="31"/>
      <c r="P1" s="43"/>
    </row>
    <row r="2" spans="14:16" ht="12.75">
      <c r="N2" s="30"/>
      <c r="P2" s="43"/>
    </row>
    <row r="3" spans="1:27" s="2" customFormat="1" ht="15">
      <c r="A3" s="12"/>
      <c r="B3" s="13" t="s">
        <v>293</v>
      </c>
      <c r="C3" s="13" t="s">
        <v>278</v>
      </c>
      <c r="D3" s="14">
        <v>2009</v>
      </c>
      <c r="E3" s="14">
        <v>2008</v>
      </c>
      <c r="F3" s="14">
        <v>2007</v>
      </c>
      <c r="G3" s="14">
        <v>2006</v>
      </c>
      <c r="H3" s="14">
        <v>2005</v>
      </c>
      <c r="I3" s="35" t="s">
        <v>305</v>
      </c>
      <c r="J3" s="14">
        <v>2003</v>
      </c>
      <c r="K3" s="14">
        <v>2002</v>
      </c>
      <c r="L3" s="14">
        <v>2001</v>
      </c>
      <c r="M3" s="14">
        <v>2000</v>
      </c>
      <c r="N3" s="14">
        <v>1999</v>
      </c>
      <c r="O3" s="45">
        <v>1998</v>
      </c>
      <c r="P3" s="45">
        <v>1997</v>
      </c>
      <c r="Q3" s="35">
        <v>1996</v>
      </c>
      <c r="R3" s="28">
        <v>1995</v>
      </c>
      <c r="S3" s="28">
        <v>1994</v>
      </c>
      <c r="T3" s="28">
        <v>1993</v>
      </c>
      <c r="U3" s="28">
        <v>1992</v>
      </c>
      <c r="V3" s="28">
        <v>1991</v>
      </c>
      <c r="W3" s="28">
        <v>1990</v>
      </c>
      <c r="X3" s="28">
        <v>1989</v>
      </c>
      <c r="Y3" s="28">
        <v>1988</v>
      </c>
      <c r="Z3" s="39"/>
      <c r="AA3" s="23"/>
    </row>
    <row r="4" spans="2:25" ht="12.75">
      <c r="B4" s="41" t="s">
        <v>41</v>
      </c>
      <c r="C4" s="41" t="s">
        <v>279</v>
      </c>
      <c r="D4" s="262">
        <v>45</v>
      </c>
      <c r="E4" s="46">
        <v>42</v>
      </c>
      <c r="F4" s="46">
        <v>44</v>
      </c>
      <c r="G4" s="46">
        <v>44</v>
      </c>
      <c r="H4" s="46">
        <v>42</v>
      </c>
      <c r="I4" s="46">
        <v>44</v>
      </c>
      <c r="J4" s="46">
        <v>47</v>
      </c>
      <c r="K4" s="46">
        <v>45</v>
      </c>
      <c r="L4" s="46">
        <v>44</v>
      </c>
      <c r="M4" s="46">
        <v>49</v>
      </c>
      <c r="N4" s="46">
        <v>41</v>
      </c>
      <c r="O4" s="46">
        <v>38</v>
      </c>
      <c r="P4" s="46">
        <v>37</v>
      </c>
      <c r="Q4" s="46">
        <v>39</v>
      </c>
      <c r="R4" s="46">
        <v>37</v>
      </c>
      <c r="S4" s="46">
        <v>46</v>
      </c>
      <c r="T4" s="46">
        <v>47</v>
      </c>
      <c r="U4" s="46">
        <v>41</v>
      </c>
      <c r="V4" s="46">
        <v>28</v>
      </c>
      <c r="W4" s="46">
        <v>25</v>
      </c>
      <c r="X4" s="46">
        <v>36</v>
      </c>
      <c r="Y4" s="46">
        <v>29</v>
      </c>
    </row>
    <row r="5" spans="2:25" ht="12.75">
      <c r="B5" s="41" t="s">
        <v>42</v>
      </c>
      <c r="C5" s="41" t="s">
        <v>280</v>
      </c>
      <c r="D5" s="263">
        <v>5</v>
      </c>
      <c r="E5" s="46">
        <v>3.7</v>
      </c>
      <c r="F5" s="46">
        <v>5.3</v>
      </c>
      <c r="G5" s="46">
        <v>5.1</v>
      </c>
      <c r="H5" s="46">
        <v>1.3</v>
      </c>
      <c r="I5" s="46">
        <v>7.1</v>
      </c>
      <c r="J5" s="46">
        <v>9.8</v>
      </c>
      <c r="K5" s="46">
        <v>8.9</v>
      </c>
      <c r="L5" s="46">
        <v>6.8</v>
      </c>
      <c r="M5" s="46">
        <v>8.7</v>
      </c>
      <c r="N5" s="46">
        <v>5.6</v>
      </c>
      <c r="O5" s="46">
        <v>5.1</v>
      </c>
      <c r="P5" s="46">
        <v>5</v>
      </c>
      <c r="Q5" s="46">
        <v>4.5</v>
      </c>
      <c r="R5" s="46">
        <v>4.5</v>
      </c>
      <c r="S5" s="46">
        <v>2.4</v>
      </c>
      <c r="T5" s="46">
        <v>2.3</v>
      </c>
      <c r="U5" s="46">
        <v>5.5</v>
      </c>
      <c r="V5" s="46">
        <v>1.8</v>
      </c>
      <c r="W5" s="46">
        <v>3.6</v>
      </c>
      <c r="X5" s="46">
        <v>7.6</v>
      </c>
      <c r="Y5" s="46">
        <v>13.2</v>
      </c>
    </row>
    <row r="6" spans="2:25" ht="15">
      <c r="B6" s="41" t="s">
        <v>135</v>
      </c>
      <c r="C6" s="41" t="s">
        <v>281</v>
      </c>
      <c r="D6" s="263">
        <v>31</v>
      </c>
      <c r="E6" s="46">
        <v>26</v>
      </c>
      <c r="F6" s="46">
        <v>35</v>
      </c>
      <c r="G6" s="46">
        <v>29</v>
      </c>
      <c r="H6" s="46">
        <v>27</v>
      </c>
      <c r="I6" s="46">
        <v>35</v>
      </c>
      <c r="J6" s="46">
        <v>54</v>
      </c>
      <c r="K6" s="46">
        <v>47</v>
      </c>
      <c r="L6" s="46">
        <v>51</v>
      </c>
      <c r="M6" s="46">
        <v>49</v>
      </c>
      <c r="N6" s="46">
        <v>33</v>
      </c>
      <c r="O6" s="46">
        <v>32</v>
      </c>
      <c r="P6" s="46">
        <v>33</v>
      </c>
      <c r="Q6" s="46">
        <v>30</v>
      </c>
      <c r="R6" s="46">
        <v>31</v>
      </c>
      <c r="S6" s="46" t="s">
        <v>39</v>
      </c>
      <c r="T6" s="46" t="s">
        <v>39</v>
      </c>
      <c r="U6" s="46" t="s">
        <v>39</v>
      </c>
      <c r="V6" s="46" t="s">
        <v>39</v>
      </c>
      <c r="W6" s="46" t="s">
        <v>39</v>
      </c>
      <c r="X6" s="46" t="s">
        <v>39</v>
      </c>
      <c r="Y6" s="46" t="s">
        <v>39</v>
      </c>
    </row>
    <row r="7" spans="2:25" ht="15">
      <c r="B7" s="41" t="s">
        <v>136</v>
      </c>
      <c r="C7" s="41" t="s">
        <v>282</v>
      </c>
      <c r="D7" s="240">
        <v>0.6</v>
      </c>
      <c r="E7" s="240">
        <v>0.7</v>
      </c>
      <c r="F7" s="46">
        <v>0.58</v>
      </c>
      <c r="G7" s="46">
        <v>0.62</v>
      </c>
      <c r="H7" s="46">
        <v>0.7</v>
      </c>
      <c r="I7" s="46">
        <v>0.63</v>
      </c>
      <c r="J7" s="46">
        <v>0.44</v>
      </c>
      <c r="K7" s="46">
        <v>0.49</v>
      </c>
      <c r="L7" s="46">
        <v>0.51</v>
      </c>
      <c r="M7" s="46">
        <v>0.39</v>
      </c>
      <c r="N7" s="46">
        <v>0.69</v>
      </c>
      <c r="O7" s="94" t="s">
        <v>311</v>
      </c>
      <c r="P7" s="46">
        <v>0.85</v>
      </c>
      <c r="Q7" s="46">
        <v>0.79</v>
      </c>
      <c r="R7" s="46">
        <v>0.8</v>
      </c>
      <c r="S7" s="46" t="s">
        <v>39</v>
      </c>
      <c r="T7" s="46" t="s">
        <v>39</v>
      </c>
      <c r="U7" s="46" t="s">
        <v>39</v>
      </c>
      <c r="V7" s="46" t="s">
        <v>39</v>
      </c>
      <c r="W7" s="46" t="s">
        <v>39</v>
      </c>
      <c r="X7" s="46" t="s">
        <v>39</v>
      </c>
      <c r="Y7" s="46" t="s">
        <v>39</v>
      </c>
    </row>
    <row r="8" spans="2:25" ht="12.75">
      <c r="B8" s="41" t="s">
        <v>43</v>
      </c>
      <c r="C8" s="41" t="s">
        <v>283</v>
      </c>
      <c r="D8" s="244">
        <v>7</v>
      </c>
      <c r="E8" s="46">
        <v>8</v>
      </c>
      <c r="F8" s="46">
        <v>11</v>
      </c>
      <c r="G8" s="46">
        <v>9</v>
      </c>
      <c r="H8" s="46">
        <v>2</v>
      </c>
      <c r="I8" s="46">
        <v>9</v>
      </c>
      <c r="J8" s="46">
        <v>11</v>
      </c>
      <c r="K8" s="46">
        <v>13</v>
      </c>
      <c r="L8" s="46">
        <v>14</v>
      </c>
      <c r="M8" s="46">
        <v>18</v>
      </c>
      <c r="N8" s="46">
        <v>12</v>
      </c>
      <c r="O8" s="46">
        <v>14</v>
      </c>
      <c r="P8" s="46">
        <v>12</v>
      </c>
      <c r="Q8" s="46">
        <v>11</v>
      </c>
      <c r="R8" s="46">
        <v>16</v>
      </c>
      <c r="S8" s="46">
        <v>6</v>
      </c>
      <c r="T8" s="46">
        <v>7</v>
      </c>
      <c r="U8" s="46">
        <v>29</v>
      </c>
      <c r="V8" s="46">
        <v>8</v>
      </c>
      <c r="W8" s="46">
        <v>14</v>
      </c>
      <c r="X8" s="46">
        <v>22</v>
      </c>
      <c r="Y8" s="46">
        <v>26</v>
      </c>
    </row>
    <row r="9" spans="2:25" ht="12.75">
      <c r="B9" s="41" t="s">
        <v>44</v>
      </c>
      <c r="C9" s="41" t="s">
        <v>284</v>
      </c>
      <c r="D9" s="244">
        <v>7</v>
      </c>
      <c r="E9" s="46">
        <v>9</v>
      </c>
      <c r="F9" s="46">
        <v>12</v>
      </c>
      <c r="G9" s="46">
        <v>9</v>
      </c>
      <c r="H9" s="46">
        <v>1</v>
      </c>
      <c r="I9" s="46">
        <v>10</v>
      </c>
      <c r="J9" s="46">
        <v>10</v>
      </c>
      <c r="K9" s="46">
        <v>12</v>
      </c>
      <c r="L9" s="46">
        <v>13</v>
      </c>
      <c r="M9" s="46">
        <v>20</v>
      </c>
      <c r="N9" s="46">
        <v>12</v>
      </c>
      <c r="O9" s="46">
        <v>13</v>
      </c>
      <c r="P9" s="46">
        <v>12</v>
      </c>
      <c r="Q9" s="46">
        <v>10</v>
      </c>
      <c r="R9" s="46">
        <v>17</v>
      </c>
      <c r="S9" s="46">
        <v>3</v>
      </c>
      <c r="T9" s="46">
        <v>6</v>
      </c>
      <c r="U9" s="46">
        <v>47</v>
      </c>
      <c r="V9" s="46">
        <v>8</v>
      </c>
      <c r="W9" s="46">
        <v>14</v>
      </c>
      <c r="X9" s="46">
        <v>19</v>
      </c>
      <c r="Y9" s="46">
        <v>17</v>
      </c>
    </row>
    <row r="10" spans="2:25" ht="12.75">
      <c r="B10" s="41" t="s">
        <v>45</v>
      </c>
      <c r="C10" s="41" t="s">
        <v>285</v>
      </c>
      <c r="D10" s="261">
        <v>7</v>
      </c>
      <c r="E10" s="46">
        <v>8</v>
      </c>
      <c r="F10" s="46">
        <v>10</v>
      </c>
      <c r="G10" s="46">
        <v>8</v>
      </c>
      <c r="H10" s="46">
        <v>2</v>
      </c>
      <c r="I10" s="46">
        <v>9</v>
      </c>
      <c r="J10" s="46">
        <v>9</v>
      </c>
      <c r="K10" s="46">
        <v>10</v>
      </c>
      <c r="L10" s="46">
        <v>12</v>
      </c>
      <c r="M10" s="46">
        <v>16</v>
      </c>
      <c r="N10" s="46">
        <v>10</v>
      </c>
      <c r="O10" s="46">
        <v>11</v>
      </c>
      <c r="P10" s="46">
        <v>10</v>
      </c>
      <c r="Q10" s="46">
        <v>8</v>
      </c>
      <c r="R10" s="46">
        <v>11</v>
      </c>
      <c r="S10" s="46">
        <v>5</v>
      </c>
      <c r="T10" s="46">
        <v>6</v>
      </c>
      <c r="U10" s="46">
        <v>27</v>
      </c>
      <c r="V10" s="46">
        <v>8</v>
      </c>
      <c r="W10" s="46">
        <v>11</v>
      </c>
      <c r="X10" s="46">
        <v>13</v>
      </c>
      <c r="Y10" s="46">
        <v>14</v>
      </c>
    </row>
    <row r="11" spans="2:25" ht="12.75">
      <c r="B11" s="41" t="s">
        <v>46</v>
      </c>
      <c r="C11" s="41" t="s">
        <v>286</v>
      </c>
      <c r="D11" s="244">
        <v>5</v>
      </c>
      <c r="E11" s="46">
        <v>5</v>
      </c>
      <c r="F11" s="46">
        <v>7</v>
      </c>
      <c r="G11" s="46">
        <v>6</v>
      </c>
      <c r="H11" s="46">
        <v>0.4</v>
      </c>
      <c r="I11" s="46">
        <v>6</v>
      </c>
      <c r="J11" s="46">
        <v>6</v>
      </c>
      <c r="K11" s="46">
        <v>6</v>
      </c>
      <c r="L11" s="46">
        <v>6.8</v>
      </c>
      <c r="M11" s="46">
        <v>11</v>
      </c>
      <c r="N11" s="46">
        <v>6</v>
      </c>
      <c r="O11" s="46">
        <v>6</v>
      </c>
      <c r="P11" s="46">
        <v>5</v>
      </c>
      <c r="Q11" s="46">
        <v>4</v>
      </c>
      <c r="R11" s="46">
        <v>5</v>
      </c>
      <c r="S11" s="46">
        <v>2</v>
      </c>
      <c r="T11" s="46">
        <v>3</v>
      </c>
      <c r="U11" s="46">
        <v>19</v>
      </c>
      <c r="V11" s="46">
        <v>3</v>
      </c>
      <c r="W11" s="46">
        <v>5</v>
      </c>
      <c r="X11" s="46">
        <v>7</v>
      </c>
      <c r="Y11" s="46">
        <v>7</v>
      </c>
    </row>
    <row r="12" spans="2:25" ht="12.75">
      <c r="B12" s="41" t="s">
        <v>47</v>
      </c>
      <c r="C12" s="41" t="s">
        <v>287</v>
      </c>
      <c r="D12" s="47">
        <v>0.99</v>
      </c>
      <c r="E12" s="47">
        <v>1.04</v>
      </c>
      <c r="F12" s="256">
        <v>1.1</v>
      </c>
      <c r="G12" s="256">
        <v>1.05</v>
      </c>
      <c r="H12" s="256">
        <v>0.99</v>
      </c>
      <c r="I12" s="256">
        <v>1</v>
      </c>
      <c r="J12" s="257" t="s">
        <v>307</v>
      </c>
      <c r="K12" s="256">
        <v>1.23</v>
      </c>
      <c r="L12" s="256">
        <v>1.21</v>
      </c>
      <c r="M12" s="256">
        <v>1.17</v>
      </c>
      <c r="N12" s="257" t="s">
        <v>307</v>
      </c>
      <c r="O12" s="256">
        <v>1.29</v>
      </c>
      <c r="P12" s="256">
        <v>1.31</v>
      </c>
      <c r="Q12" s="256">
        <v>1.28</v>
      </c>
      <c r="R12" s="256">
        <v>1.38</v>
      </c>
      <c r="S12" s="257" t="s">
        <v>313</v>
      </c>
      <c r="T12" s="257" t="s">
        <v>313</v>
      </c>
      <c r="U12" s="256">
        <v>1.09</v>
      </c>
      <c r="V12" s="257" t="s">
        <v>313</v>
      </c>
      <c r="W12" s="256">
        <v>1.29</v>
      </c>
      <c r="X12" s="256">
        <v>1.7</v>
      </c>
      <c r="Y12" s="256">
        <v>1.94</v>
      </c>
    </row>
    <row r="13" spans="2:25" ht="15">
      <c r="B13" s="41" t="s">
        <v>134</v>
      </c>
      <c r="C13" s="41" t="s">
        <v>288</v>
      </c>
      <c r="D13" s="255">
        <v>16.36</v>
      </c>
      <c r="E13" s="256">
        <v>5.42</v>
      </c>
      <c r="F13" s="256">
        <v>6.42</v>
      </c>
      <c r="G13" s="256">
        <v>3.95</v>
      </c>
      <c r="H13" s="256">
        <v>6.22</v>
      </c>
      <c r="I13" s="257" t="s">
        <v>306</v>
      </c>
      <c r="J13" s="256">
        <v>11.66</v>
      </c>
      <c r="K13" s="256">
        <v>12.37</v>
      </c>
      <c r="L13" s="257" t="s">
        <v>308</v>
      </c>
      <c r="M13" s="256">
        <v>9.5</v>
      </c>
      <c r="N13" s="256">
        <v>10.41</v>
      </c>
      <c r="O13" s="256">
        <v>6.12</v>
      </c>
      <c r="P13" s="256">
        <v>23.01</v>
      </c>
      <c r="Q13" s="256">
        <v>19.97</v>
      </c>
      <c r="R13" s="256">
        <v>23.45</v>
      </c>
      <c r="S13" s="256">
        <v>5.57</v>
      </c>
      <c r="T13" s="256">
        <v>6.54</v>
      </c>
      <c r="U13" s="256">
        <v>6.94</v>
      </c>
      <c r="V13" s="256">
        <v>3.09</v>
      </c>
      <c r="W13" s="256" t="s">
        <v>39</v>
      </c>
      <c r="X13" s="256" t="s">
        <v>39</v>
      </c>
      <c r="Y13" s="256" t="s">
        <v>39</v>
      </c>
    </row>
    <row r="14" spans="1:25" ht="15">
      <c r="A14" s="77" t="s">
        <v>171</v>
      </c>
      <c r="B14" s="41" t="s">
        <v>133</v>
      </c>
      <c r="C14" s="41" t="s">
        <v>289</v>
      </c>
      <c r="D14" s="256">
        <v>6.78</v>
      </c>
      <c r="E14" s="256">
        <v>7.94</v>
      </c>
      <c r="F14" s="256">
        <v>10.16</v>
      </c>
      <c r="G14" s="256">
        <v>7.75</v>
      </c>
      <c r="H14" s="256">
        <v>0.61</v>
      </c>
      <c r="I14" s="256">
        <v>7.37</v>
      </c>
      <c r="J14" s="256">
        <v>7.28</v>
      </c>
      <c r="K14" s="256">
        <v>8.18</v>
      </c>
      <c r="L14" s="257" t="s">
        <v>309</v>
      </c>
      <c r="M14" s="257" t="s">
        <v>310</v>
      </c>
      <c r="N14" s="256">
        <v>5.58</v>
      </c>
      <c r="O14" s="256">
        <v>5.34</v>
      </c>
      <c r="P14" s="256">
        <v>13.11</v>
      </c>
      <c r="Q14" s="256">
        <v>10.05</v>
      </c>
      <c r="R14" s="256">
        <v>16.45</v>
      </c>
      <c r="S14" s="256">
        <v>2.76</v>
      </c>
      <c r="T14" s="256">
        <v>5.48</v>
      </c>
      <c r="U14" s="257" t="s">
        <v>314</v>
      </c>
      <c r="V14" s="257" t="s">
        <v>315</v>
      </c>
      <c r="W14" s="256">
        <v>7.67</v>
      </c>
      <c r="X14" s="256" t="s">
        <v>39</v>
      </c>
      <c r="Y14" s="256" t="s">
        <v>39</v>
      </c>
    </row>
    <row r="15" spans="1:25" ht="15">
      <c r="A15" s="77" t="s">
        <v>171</v>
      </c>
      <c r="B15" s="41" t="s">
        <v>497</v>
      </c>
      <c r="C15" s="41" t="s">
        <v>290</v>
      </c>
      <c r="D15" s="258" t="s">
        <v>502</v>
      </c>
      <c r="E15" s="238">
        <v>3.5</v>
      </c>
      <c r="F15" s="238">
        <v>4.4</v>
      </c>
      <c r="G15" s="238">
        <v>4</v>
      </c>
      <c r="H15" s="256">
        <v>3.67</v>
      </c>
      <c r="I15" s="256">
        <v>3.5</v>
      </c>
      <c r="J15" s="256">
        <v>3.5</v>
      </c>
      <c r="K15" s="256">
        <v>3.2</v>
      </c>
      <c r="L15" s="256">
        <v>2.92</v>
      </c>
      <c r="M15" s="256">
        <v>2.58</v>
      </c>
      <c r="N15" s="256">
        <v>2.27</v>
      </c>
      <c r="O15" s="256">
        <v>2.05</v>
      </c>
      <c r="P15" s="256">
        <v>5.43</v>
      </c>
      <c r="Q15" s="256">
        <v>4.96</v>
      </c>
      <c r="R15" s="257" t="s">
        <v>312</v>
      </c>
      <c r="S15" s="256">
        <v>3.54</v>
      </c>
      <c r="T15" s="256">
        <v>3.21</v>
      </c>
      <c r="U15" s="256">
        <v>2.93</v>
      </c>
      <c r="V15" s="256">
        <v>2.93</v>
      </c>
      <c r="W15" s="256">
        <v>2.93</v>
      </c>
      <c r="X15" s="256" t="s">
        <v>39</v>
      </c>
      <c r="Y15" s="256" t="s">
        <v>39</v>
      </c>
    </row>
    <row r="16" spans="2:25" ht="12.75">
      <c r="B16" s="41"/>
      <c r="C16" s="41"/>
      <c r="D16" s="41"/>
      <c r="E16" s="41"/>
      <c r="F16" s="41"/>
      <c r="G16" s="239"/>
      <c r="H16" s="41"/>
      <c r="I16" s="41"/>
      <c r="J16" s="41"/>
      <c r="K16" s="41"/>
      <c r="L16" s="41"/>
      <c r="M16" s="41"/>
      <c r="N16" s="41"/>
      <c r="O16" s="44"/>
      <c r="P16" s="44"/>
      <c r="Q16" s="42"/>
      <c r="R16" s="42"/>
      <c r="S16" s="42"/>
      <c r="T16" s="42"/>
      <c r="U16" s="42"/>
      <c r="V16" s="42"/>
      <c r="W16" s="42"/>
      <c r="X16" s="42"/>
      <c r="Y16" s="42"/>
    </row>
    <row r="17" spans="2:25" ht="12.75">
      <c r="B17" s="41" t="s">
        <v>91</v>
      </c>
      <c r="C17" s="92" t="s">
        <v>291</v>
      </c>
      <c r="D17" s="9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4"/>
      <c r="P17" s="44"/>
      <c r="Q17" s="42"/>
      <c r="R17" s="42"/>
      <c r="S17" s="42"/>
      <c r="T17" s="42"/>
      <c r="U17" s="42"/>
      <c r="V17" s="42"/>
      <c r="W17" s="42"/>
      <c r="X17" s="42"/>
      <c r="Y17" s="42"/>
    </row>
    <row r="18" spans="2:24" ht="12.75">
      <c r="B18" s="41" t="s">
        <v>131</v>
      </c>
      <c r="C18" s="92" t="s">
        <v>292</v>
      </c>
      <c r="D18" s="92"/>
      <c r="E18" s="41"/>
      <c r="F18" s="41"/>
      <c r="G18" s="41"/>
      <c r="H18" s="41"/>
      <c r="I18" s="41"/>
      <c r="J18" s="41"/>
      <c r="K18" s="41"/>
      <c r="L18" s="41"/>
      <c r="M18" s="41"/>
      <c r="N18" s="44"/>
      <c r="O18" s="44"/>
      <c r="P18" s="42"/>
      <c r="Q18" s="42"/>
      <c r="R18" s="42"/>
      <c r="S18" s="42"/>
      <c r="T18" s="42"/>
      <c r="U18" s="42"/>
      <c r="V18" s="42"/>
      <c r="W18" s="42"/>
      <c r="X18" s="42"/>
    </row>
    <row r="19" spans="2:24" ht="12.75">
      <c r="B19" s="41" t="s">
        <v>132</v>
      </c>
      <c r="C19" s="92" t="s">
        <v>296</v>
      </c>
      <c r="D19" s="92"/>
      <c r="E19" s="41"/>
      <c r="F19" s="41"/>
      <c r="G19" s="41"/>
      <c r="H19" s="41"/>
      <c r="I19" s="41"/>
      <c r="J19" s="41"/>
      <c r="K19" s="41"/>
      <c r="L19" s="41"/>
      <c r="M19" s="41"/>
      <c r="N19" s="44"/>
      <c r="O19" s="44"/>
      <c r="P19" s="42"/>
      <c r="Q19" s="42"/>
      <c r="R19" s="42"/>
      <c r="S19" s="42"/>
      <c r="T19" s="42"/>
      <c r="U19" s="42"/>
      <c r="V19" s="42"/>
      <c r="W19" s="42"/>
      <c r="X19" s="42"/>
    </row>
    <row r="20" spans="2:24" ht="12.75">
      <c r="B20" s="41" t="s">
        <v>155</v>
      </c>
      <c r="C20" s="92" t="s">
        <v>297</v>
      </c>
      <c r="D20" s="92"/>
      <c r="E20" s="41"/>
      <c r="F20" s="41"/>
      <c r="G20" s="41"/>
      <c r="H20" s="41"/>
      <c r="I20" s="41"/>
      <c r="J20" s="41"/>
      <c r="K20" s="41"/>
      <c r="L20" s="41"/>
      <c r="M20" s="41"/>
      <c r="N20" s="44"/>
      <c r="O20" s="44"/>
      <c r="P20" s="42"/>
      <c r="Q20" s="42"/>
      <c r="R20" s="42"/>
      <c r="S20" s="42"/>
      <c r="T20" s="42"/>
      <c r="U20" s="42"/>
      <c r="V20" s="42"/>
      <c r="W20" s="42"/>
      <c r="X20" s="42"/>
    </row>
    <row r="21" spans="2:24" ht="12.75">
      <c r="B21" s="41"/>
      <c r="C21" s="41"/>
      <c r="D21" s="185"/>
      <c r="E21" s="185"/>
      <c r="F21" s="185"/>
      <c r="G21" s="185"/>
      <c r="H21" s="41"/>
      <c r="I21" s="41"/>
      <c r="J21" s="41"/>
      <c r="K21" s="41"/>
      <c r="L21" s="41"/>
      <c r="M21" s="41"/>
      <c r="N21" s="44"/>
      <c r="O21" s="44"/>
      <c r="P21" s="42"/>
      <c r="Q21" s="42"/>
      <c r="R21" s="42"/>
      <c r="S21" s="42"/>
      <c r="T21" s="42"/>
      <c r="U21" s="42"/>
      <c r="V21" s="42"/>
      <c r="W21" s="42"/>
      <c r="X21" s="42"/>
    </row>
    <row r="22" spans="2:24" ht="12.75">
      <c r="B22" s="41"/>
      <c r="C22" s="41"/>
      <c r="D22" s="242"/>
      <c r="E22" s="242"/>
      <c r="F22" s="242"/>
      <c r="G22" s="242"/>
      <c r="H22" s="41"/>
      <c r="I22" s="41"/>
      <c r="J22" s="41"/>
      <c r="K22" s="41"/>
      <c r="L22" s="41"/>
      <c r="M22" s="41"/>
      <c r="N22" s="44"/>
      <c r="O22" s="44"/>
      <c r="P22" s="42"/>
      <c r="Q22" s="42"/>
      <c r="R22" s="42"/>
      <c r="S22" s="42"/>
      <c r="T22" s="42"/>
      <c r="U22" s="42"/>
      <c r="V22" s="42"/>
      <c r="W22" s="42"/>
      <c r="X22" s="42"/>
    </row>
    <row r="23" spans="3:24" ht="12.75">
      <c r="C23" s="241"/>
      <c r="D23" s="185"/>
      <c r="E23" s="185"/>
      <c r="F23" s="185"/>
      <c r="G23" s="185"/>
      <c r="N23" s="44"/>
      <c r="O23" s="44"/>
      <c r="P23" s="42"/>
      <c r="Q23" s="42"/>
      <c r="R23" s="42"/>
      <c r="S23" s="42"/>
      <c r="T23" s="42"/>
      <c r="U23" s="42"/>
      <c r="V23" s="42"/>
      <c r="W23" s="42"/>
      <c r="X23" s="42"/>
    </row>
    <row r="24" spans="3:24" ht="12.75">
      <c r="C24" s="185"/>
      <c r="D24" s="242"/>
      <c r="E24" s="242"/>
      <c r="F24" s="242"/>
      <c r="G24" s="242"/>
      <c r="N24" s="44"/>
      <c r="O24" s="44"/>
      <c r="P24" s="42"/>
      <c r="Q24" s="42"/>
      <c r="R24" s="42"/>
      <c r="S24" s="42"/>
      <c r="T24" s="42"/>
      <c r="U24" s="42"/>
      <c r="V24" s="42"/>
      <c r="W24" s="42"/>
      <c r="X24" s="42"/>
    </row>
    <row r="25" spans="3:24" ht="12.75">
      <c r="C25" s="243"/>
      <c r="D25" s="243"/>
      <c r="E25" s="185"/>
      <c r="F25" s="185"/>
      <c r="G25" s="185"/>
      <c r="N25" s="44"/>
      <c r="O25" s="44"/>
      <c r="P25" s="42"/>
      <c r="Q25" s="42"/>
      <c r="R25" s="42"/>
      <c r="S25" s="42"/>
      <c r="T25" s="42"/>
      <c r="U25" s="42"/>
      <c r="V25" s="42"/>
      <c r="W25" s="42"/>
      <c r="X25" s="42"/>
    </row>
    <row r="26" spans="4:24" ht="12.75">
      <c r="D26" s="242"/>
      <c r="E26" s="242"/>
      <c r="F26" s="242"/>
      <c r="G26" s="242"/>
      <c r="N26" s="44"/>
      <c r="O26" s="44"/>
      <c r="P26" s="42"/>
      <c r="Q26" s="42"/>
      <c r="R26" s="42"/>
      <c r="S26" s="42"/>
      <c r="T26" s="42"/>
      <c r="U26" s="42"/>
      <c r="V26" s="42"/>
      <c r="W26" s="42"/>
      <c r="X26" s="42"/>
    </row>
    <row r="27" spans="4:24" ht="12.75">
      <c r="D27" s="185"/>
      <c r="E27" s="185"/>
      <c r="F27" s="185"/>
      <c r="G27" s="185"/>
      <c r="N27" s="44"/>
      <c r="O27" s="44"/>
      <c r="P27" s="42"/>
      <c r="Q27" s="42"/>
      <c r="R27" s="42"/>
      <c r="S27" s="42"/>
      <c r="T27" s="42"/>
      <c r="U27" s="42"/>
      <c r="V27" s="42"/>
      <c r="W27" s="42"/>
      <c r="X27" s="42"/>
    </row>
    <row r="28" spans="4:7" ht="12.75">
      <c r="D28" s="242"/>
      <c r="E28" s="242"/>
      <c r="F28" s="242"/>
      <c r="G28" s="242"/>
    </row>
    <row r="29" spans="4:7" ht="12.75">
      <c r="D29" s="185"/>
      <c r="E29" s="185"/>
      <c r="F29" s="185"/>
      <c r="G29" s="185"/>
    </row>
    <row r="30" spans="4:7" ht="12.75">
      <c r="D30" s="242"/>
      <c r="E30" s="242"/>
      <c r="F30" s="242"/>
      <c r="G30" s="24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AM109"/>
  <sheetViews>
    <sheetView zoomScalePageLayoutView="0" workbookViewId="0" topLeftCell="C1">
      <selection activeCell="D13" sqref="D13"/>
    </sheetView>
  </sheetViews>
  <sheetFormatPr defaultColWidth="8.8515625" defaultRowHeight="12.75"/>
  <cols>
    <col min="1" max="1" width="8.8515625" style="0" customWidth="1"/>
    <col min="2" max="2" width="33.7109375" style="100" customWidth="1"/>
    <col min="3" max="3" width="35.8515625" style="100" customWidth="1"/>
    <col min="4" max="4" width="9.421875" style="100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9" width="6.7109375" style="0" bestFit="1" customWidth="1"/>
    <col min="10" max="11" width="8.8515625" style="0" customWidth="1"/>
    <col min="12" max="12" width="11.421875" style="0" bestFit="1" customWidth="1"/>
    <col min="13" max="13" width="10.140625" style="0" bestFit="1" customWidth="1"/>
    <col min="14" max="14" width="11.421875" style="0" bestFit="1" customWidth="1"/>
    <col min="15" max="15" width="15.7109375" style="0" bestFit="1" customWidth="1"/>
  </cols>
  <sheetData>
    <row r="1" spans="1:16" s="2" customFormat="1" ht="18">
      <c r="A1" s="23"/>
      <c r="B1" s="114" t="s">
        <v>418</v>
      </c>
      <c r="C1" s="114" t="s">
        <v>419</v>
      </c>
      <c r="D1" s="114"/>
      <c r="E1" s="104"/>
      <c r="F1" s="104"/>
      <c r="G1" s="104"/>
      <c r="H1" s="33"/>
      <c r="I1" s="33"/>
      <c r="J1" s="15"/>
      <c r="K1" s="15"/>
      <c r="L1" s="15"/>
      <c r="M1" s="15"/>
      <c r="N1" s="15"/>
      <c r="O1" s="15"/>
      <c r="P1" s="15"/>
    </row>
    <row r="2" spans="1:25" s="2" customFormat="1" ht="12.75">
      <c r="A2" s="23"/>
      <c r="B2" s="113"/>
      <c r="E2" s="23"/>
      <c r="F2" s="105"/>
      <c r="G2" s="105"/>
      <c r="H2" s="106"/>
      <c r="I2" s="106"/>
      <c r="J2" s="15"/>
      <c r="K2" s="15"/>
      <c r="L2" s="15"/>
      <c r="M2" s="15"/>
      <c r="N2" s="15"/>
      <c r="O2" s="15"/>
      <c r="P2" s="15"/>
      <c r="X2" s="23"/>
      <c r="Y2" s="23"/>
    </row>
    <row r="3" spans="1:39" ht="12.75">
      <c r="A3" s="107"/>
      <c r="B3" s="115" t="s">
        <v>421</v>
      </c>
      <c r="C3" s="115" t="s">
        <v>422</v>
      </c>
      <c r="D3" s="109">
        <v>2009</v>
      </c>
      <c r="E3" s="109">
        <v>2008</v>
      </c>
      <c r="F3" s="109">
        <v>2007</v>
      </c>
      <c r="G3" s="109">
        <v>2006</v>
      </c>
      <c r="H3" s="109">
        <v>2005</v>
      </c>
      <c r="I3" s="109">
        <v>2004</v>
      </c>
      <c r="J3" s="52"/>
      <c r="K3" s="112"/>
      <c r="L3" s="112"/>
      <c r="M3" s="112"/>
      <c r="N3" s="112"/>
      <c r="O3" s="112"/>
      <c r="P3" s="11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12.75">
      <c r="A4" s="107" t="s">
        <v>171</v>
      </c>
      <c r="B4" s="116" t="s">
        <v>386</v>
      </c>
      <c r="C4" s="116" t="s">
        <v>405</v>
      </c>
      <c r="D4" s="116"/>
      <c r="E4" s="112"/>
      <c r="F4" s="112"/>
      <c r="G4" s="112"/>
      <c r="H4" s="112"/>
      <c r="I4" s="112"/>
      <c r="J4" s="52"/>
      <c r="K4" s="52"/>
      <c r="L4" s="110"/>
      <c r="M4" s="110"/>
      <c r="N4" s="110"/>
      <c r="O4" s="110"/>
      <c r="P4" s="11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12.75">
      <c r="A5" s="107"/>
      <c r="B5" s="108" t="s">
        <v>387</v>
      </c>
      <c r="C5" s="108" t="s">
        <v>406</v>
      </c>
      <c r="D5" s="110">
        <v>6.78</v>
      </c>
      <c r="E5" s="110">
        <v>7.94</v>
      </c>
      <c r="F5" s="110">
        <v>10.16</v>
      </c>
      <c r="G5" s="110">
        <v>7.75</v>
      </c>
      <c r="H5" s="110">
        <v>0.61</v>
      </c>
      <c r="I5" s="110">
        <v>7.37</v>
      </c>
      <c r="J5" s="52"/>
      <c r="K5" s="52"/>
      <c r="L5" s="52"/>
      <c r="M5" s="52"/>
      <c r="N5" s="52"/>
      <c r="O5" s="11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12.75">
      <c r="A6" s="107"/>
      <c r="B6" s="108" t="s">
        <v>388</v>
      </c>
      <c r="C6" s="108" t="s">
        <v>407</v>
      </c>
      <c r="D6" s="110">
        <v>6.78</v>
      </c>
      <c r="E6" s="110">
        <v>7.94</v>
      </c>
      <c r="F6" s="110">
        <v>10.17</v>
      </c>
      <c r="G6" s="110">
        <v>7.76</v>
      </c>
      <c r="H6" s="110">
        <v>0.61</v>
      </c>
      <c r="I6" s="110">
        <v>7.38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12.75">
      <c r="A7" s="107" t="s">
        <v>171</v>
      </c>
      <c r="B7" s="116" t="s">
        <v>389</v>
      </c>
      <c r="C7" s="116" t="s">
        <v>408</v>
      </c>
      <c r="D7" s="116"/>
      <c r="E7" s="110"/>
      <c r="F7" s="110"/>
      <c r="G7" s="110"/>
      <c r="H7" s="110"/>
      <c r="I7" s="110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2.75">
      <c r="A8" s="107"/>
      <c r="B8" s="108" t="s">
        <v>390</v>
      </c>
      <c r="C8" s="108" t="s">
        <v>409</v>
      </c>
      <c r="D8" s="246">
        <v>83.18</v>
      </c>
      <c r="E8" s="110">
        <v>84.76</v>
      </c>
      <c r="F8" s="110">
        <v>119</v>
      </c>
      <c r="G8" s="110">
        <v>107.24</v>
      </c>
      <c r="H8" s="110">
        <v>88.95</v>
      </c>
      <c r="I8" s="110">
        <v>96.22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2.75">
      <c r="A9" s="107"/>
      <c r="B9" s="108" t="s">
        <v>391</v>
      </c>
      <c r="C9" s="108" t="s">
        <v>410</v>
      </c>
      <c r="D9" s="245">
        <v>95.45</v>
      </c>
      <c r="E9" s="110">
        <v>66.75</v>
      </c>
      <c r="F9" s="110">
        <v>114.5</v>
      </c>
      <c r="G9" s="110">
        <v>119.17</v>
      </c>
      <c r="H9" s="110">
        <v>99</v>
      </c>
      <c r="I9" s="110">
        <v>94.5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2.75">
      <c r="A10" s="107"/>
      <c r="B10" s="108" t="s">
        <v>392</v>
      </c>
      <c r="C10" s="108" t="s">
        <v>209</v>
      </c>
      <c r="D10" s="245">
        <v>16.36</v>
      </c>
      <c r="E10" s="110">
        <v>5.42</v>
      </c>
      <c r="F10" s="110">
        <v>6.42</v>
      </c>
      <c r="G10" s="110">
        <v>3.95</v>
      </c>
      <c r="H10" s="110">
        <v>6.22</v>
      </c>
      <c r="I10" s="110">
        <v>8.12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5">
      <c r="A11" s="107"/>
      <c r="B11" s="108" t="s">
        <v>393</v>
      </c>
      <c r="C11" s="108" t="s">
        <v>216</v>
      </c>
      <c r="D11" s="258" t="s">
        <v>503</v>
      </c>
      <c r="E11" s="110">
        <v>3.5</v>
      </c>
      <c r="F11" s="110">
        <v>4.4</v>
      </c>
      <c r="G11" s="110">
        <v>4</v>
      </c>
      <c r="H11" s="110">
        <v>3.67</v>
      </c>
      <c r="I11" s="110">
        <v>3.5</v>
      </c>
      <c r="J11" s="251"/>
      <c r="K11" s="251"/>
      <c r="L11" s="251"/>
      <c r="M11" s="251"/>
      <c r="N11" s="251"/>
      <c r="O11" s="253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15">
      <c r="A12" s="107"/>
      <c r="B12" s="108" t="s">
        <v>394</v>
      </c>
      <c r="C12" s="108" t="s">
        <v>498</v>
      </c>
      <c r="D12" s="248">
        <v>5</v>
      </c>
      <c r="E12" s="248">
        <v>6</v>
      </c>
      <c r="F12" s="248">
        <v>9</v>
      </c>
      <c r="G12" s="248">
        <v>9</v>
      </c>
      <c r="H12" s="248">
        <v>9</v>
      </c>
      <c r="I12" s="248">
        <v>11</v>
      </c>
      <c r="J12" s="251"/>
      <c r="K12" s="251"/>
      <c r="L12" s="251"/>
      <c r="M12" s="251"/>
      <c r="N12" s="251"/>
      <c r="O12" s="2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ht="12.75">
      <c r="A13" s="107"/>
      <c r="B13" s="108" t="s">
        <v>395</v>
      </c>
      <c r="C13" s="108" t="s">
        <v>411</v>
      </c>
      <c r="D13" s="249">
        <v>3.9</v>
      </c>
      <c r="E13" s="249">
        <v>5.2</v>
      </c>
      <c r="F13" s="249">
        <v>3.8</v>
      </c>
      <c r="G13" s="249">
        <v>3.4</v>
      </c>
      <c r="H13" s="249">
        <v>3.7</v>
      </c>
      <c r="I13" s="249">
        <v>3.7</v>
      </c>
      <c r="J13" s="251"/>
      <c r="K13" s="251"/>
      <c r="L13" s="251"/>
      <c r="M13" s="251"/>
      <c r="N13" s="251"/>
      <c r="O13" s="2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5">
      <c r="A14" s="107"/>
      <c r="B14" s="108" t="s">
        <v>396</v>
      </c>
      <c r="C14" s="108" t="s">
        <v>499</v>
      </c>
      <c r="D14" s="250">
        <v>14</v>
      </c>
      <c r="E14" s="250">
        <v>12</v>
      </c>
      <c r="F14" s="250">
        <v>11</v>
      </c>
      <c r="G14" s="250">
        <v>14</v>
      </c>
      <c r="H14" s="250">
        <v>97</v>
      </c>
      <c r="I14" s="250">
        <v>12</v>
      </c>
      <c r="J14" s="251"/>
      <c r="K14" s="251"/>
      <c r="L14" s="251"/>
      <c r="M14" s="251"/>
      <c r="N14" s="251"/>
      <c r="O14" s="2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ht="15">
      <c r="A15" s="107"/>
      <c r="B15" s="108" t="s">
        <v>397</v>
      </c>
      <c r="C15" s="108" t="s">
        <v>500</v>
      </c>
      <c r="D15" s="252">
        <v>13</v>
      </c>
      <c r="E15" s="250">
        <v>11</v>
      </c>
      <c r="F15" s="250">
        <v>12</v>
      </c>
      <c r="G15" s="250">
        <v>14</v>
      </c>
      <c r="H15" s="250">
        <v>57</v>
      </c>
      <c r="I15" s="250">
        <v>13</v>
      </c>
      <c r="J15" s="251"/>
      <c r="K15" s="251"/>
      <c r="L15" s="251"/>
      <c r="M15" s="251"/>
      <c r="N15" s="251"/>
      <c r="O15" s="25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ht="15">
      <c r="A16" s="107"/>
      <c r="B16" s="108" t="s">
        <v>398</v>
      </c>
      <c r="C16" s="108" t="s">
        <v>501</v>
      </c>
      <c r="D16" s="110">
        <v>0.78</v>
      </c>
      <c r="E16" s="110">
        <v>0.84</v>
      </c>
      <c r="F16" s="110">
        <v>0.73</v>
      </c>
      <c r="G16" s="110">
        <v>0.73</v>
      </c>
      <c r="H16" s="110">
        <v>0.73</v>
      </c>
      <c r="I16" s="110">
        <v>0.69</v>
      </c>
      <c r="J16" s="251"/>
      <c r="K16" s="251"/>
      <c r="L16" s="251"/>
      <c r="M16" s="251"/>
      <c r="N16" s="254"/>
      <c r="O16" s="2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12.75">
      <c r="A17" s="107"/>
      <c r="B17" s="108" t="s">
        <v>399</v>
      </c>
      <c r="C17" s="108" t="s">
        <v>412</v>
      </c>
      <c r="D17" s="250">
        <v>55</v>
      </c>
      <c r="E17" s="250">
        <v>44</v>
      </c>
      <c r="F17" s="250">
        <v>41</v>
      </c>
      <c r="G17" s="250">
        <v>48</v>
      </c>
      <c r="H17" s="250">
        <v>58</v>
      </c>
      <c r="I17" s="250">
        <v>68</v>
      </c>
      <c r="J17" s="251"/>
      <c r="K17" s="251"/>
      <c r="L17" s="251"/>
      <c r="M17" s="251"/>
      <c r="N17" s="251"/>
      <c r="O17" s="2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12.75">
      <c r="A18" s="107"/>
      <c r="B18" s="108" t="s">
        <v>400</v>
      </c>
      <c r="C18" s="108" t="s">
        <v>413</v>
      </c>
      <c r="D18" s="248">
        <v>96</v>
      </c>
      <c r="E18" s="248">
        <v>95</v>
      </c>
      <c r="F18" s="248">
        <v>91</v>
      </c>
      <c r="G18" s="248">
        <v>83</v>
      </c>
      <c r="H18" s="248">
        <v>80</v>
      </c>
      <c r="I18" s="248">
        <v>78</v>
      </c>
      <c r="J18" s="251"/>
      <c r="K18" s="251"/>
      <c r="L18" s="251"/>
      <c r="M18" s="251"/>
      <c r="N18" s="251"/>
      <c r="O18" s="2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ht="12.75">
      <c r="A19" s="107"/>
      <c r="B19" s="108" t="s">
        <v>401</v>
      </c>
      <c r="C19" s="108" t="s">
        <v>414</v>
      </c>
      <c r="D19" s="248">
        <v>96</v>
      </c>
      <c r="E19" s="248">
        <v>94</v>
      </c>
      <c r="F19" s="248">
        <v>90</v>
      </c>
      <c r="G19" s="248">
        <v>83</v>
      </c>
      <c r="H19" s="248">
        <v>80</v>
      </c>
      <c r="I19" s="248">
        <v>77</v>
      </c>
      <c r="J19" s="251"/>
      <c r="K19" s="251"/>
      <c r="L19" s="251"/>
      <c r="M19" s="251"/>
      <c r="N19" s="251"/>
      <c r="O19" s="2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t="25.5">
      <c r="A20" s="107"/>
      <c r="B20" s="108" t="s">
        <v>402</v>
      </c>
      <c r="C20" s="108" t="s">
        <v>415</v>
      </c>
      <c r="D20" s="247">
        <v>702.3</v>
      </c>
      <c r="E20" s="247">
        <v>702.4</v>
      </c>
      <c r="F20" s="247">
        <v>702.2</v>
      </c>
      <c r="G20" s="247">
        <v>701.4</v>
      </c>
      <c r="H20" s="247">
        <v>700.5</v>
      </c>
      <c r="I20" s="247">
        <v>700.5</v>
      </c>
      <c r="J20" s="251"/>
      <c r="K20" s="251"/>
      <c r="L20" s="251"/>
      <c r="M20" s="251"/>
      <c r="N20" s="251"/>
      <c r="O20" s="2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t="25.5">
      <c r="A21" s="107"/>
      <c r="B21" s="108" t="s">
        <v>403</v>
      </c>
      <c r="C21" s="108" t="s">
        <v>416</v>
      </c>
      <c r="D21" s="247">
        <v>705.1</v>
      </c>
      <c r="E21" s="247">
        <v>705.1</v>
      </c>
      <c r="F21" s="247">
        <v>705.1</v>
      </c>
      <c r="G21" s="247">
        <v>705.1</v>
      </c>
      <c r="H21" s="247">
        <v>705.1</v>
      </c>
      <c r="I21" s="247">
        <v>705.1</v>
      </c>
      <c r="J21" s="251"/>
      <c r="K21" s="251"/>
      <c r="L21" s="251"/>
      <c r="M21" s="251"/>
      <c r="N21" s="251"/>
      <c r="O21" s="2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25.5">
      <c r="A22" s="107"/>
      <c r="B22" s="108" t="s">
        <v>404</v>
      </c>
      <c r="C22" s="108" t="s">
        <v>417</v>
      </c>
      <c r="D22" s="247">
        <v>705.1</v>
      </c>
      <c r="E22" s="247">
        <v>705.1</v>
      </c>
      <c r="F22" s="247">
        <v>705.1</v>
      </c>
      <c r="G22" s="247">
        <v>705.1</v>
      </c>
      <c r="H22" s="247">
        <v>705.1</v>
      </c>
      <c r="I22" s="247">
        <v>705.1</v>
      </c>
      <c r="J22" s="251"/>
      <c r="K22" s="251"/>
      <c r="L22" s="251"/>
      <c r="M22" s="251"/>
      <c r="N22" s="251"/>
      <c r="O22" s="25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ht="12.75">
      <c r="A23" s="107"/>
      <c r="B23" s="117"/>
      <c r="C23" s="117"/>
      <c r="D23" s="111"/>
      <c r="E23" s="111"/>
      <c r="F23" s="111"/>
      <c r="G23" s="111"/>
      <c r="H23" s="111"/>
      <c r="I23" s="111"/>
      <c r="J23" s="251"/>
      <c r="K23" s="251"/>
      <c r="L23" s="251"/>
      <c r="M23" s="251"/>
      <c r="N23" s="251"/>
      <c r="O23" s="2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ht="12.75">
      <c r="A24" s="107"/>
      <c r="B24" s="113"/>
      <c r="C24" s="113"/>
      <c r="D24" s="113"/>
      <c r="E24" s="107"/>
      <c r="F24" s="107"/>
      <c r="G24" s="107"/>
      <c r="H24" s="107"/>
      <c r="I24" s="107"/>
      <c r="J24" s="251"/>
      <c r="K24" s="251"/>
      <c r="L24" s="251"/>
      <c r="M24" s="251"/>
      <c r="N24" s="251"/>
      <c r="O24" s="25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ht="12.75">
      <c r="A25" s="107"/>
      <c r="B25" s="108"/>
      <c r="C25" s="108"/>
      <c r="D25" s="108"/>
      <c r="E25" s="107"/>
      <c r="F25" s="107"/>
      <c r="G25" s="107"/>
      <c r="H25" s="107"/>
      <c r="I25" s="107"/>
      <c r="J25" s="251"/>
      <c r="K25" s="251"/>
      <c r="L25" s="251"/>
      <c r="M25" s="251"/>
      <c r="N25" s="251"/>
      <c r="O25" s="2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25.5">
      <c r="A26" s="107"/>
      <c r="B26" s="113" t="s">
        <v>420</v>
      </c>
      <c r="C26" s="113" t="s">
        <v>423</v>
      </c>
      <c r="D26" s="113"/>
      <c r="E26" s="107"/>
      <c r="F26" s="107"/>
      <c r="G26" s="107"/>
      <c r="H26" s="107"/>
      <c r="I26" s="107"/>
      <c r="J26" s="251"/>
      <c r="K26" s="251"/>
      <c r="L26" s="251"/>
      <c r="M26" s="251"/>
      <c r="N26" s="251"/>
      <c r="O26" s="2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2.75">
      <c r="A27" s="107"/>
      <c r="B27" s="108" t="s">
        <v>475</v>
      </c>
      <c r="C27" s="108" t="s">
        <v>480</v>
      </c>
      <c r="D27" s="108"/>
      <c r="E27" s="107"/>
      <c r="F27" s="107"/>
      <c r="G27" s="107"/>
      <c r="H27" s="107"/>
      <c r="I27" s="10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ht="12.75">
      <c r="A28" s="107"/>
      <c r="B28" s="108" t="s">
        <v>476</v>
      </c>
      <c r="C28" s="108" t="s">
        <v>481</v>
      </c>
      <c r="D28" s="108"/>
      <c r="E28" s="107"/>
      <c r="F28" s="107"/>
      <c r="G28" s="107"/>
      <c r="H28" s="107"/>
      <c r="I28" s="107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1:39" ht="39">
      <c r="A29" s="107"/>
      <c r="B29" s="108" t="s">
        <v>477</v>
      </c>
      <c r="C29" s="108" t="s">
        <v>482</v>
      </c>
      <c r="D29" s="108"/>
      <c r="E29" s="107"/>
      <c r="F29" s="107"/>
      <c r="G29" s="107"/>
      <c r="H29" s="107"/>
      <c r="I29" s="107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ht="51.75">
      <c r="A30" s="107"/>
      <c r="B30" s="108" t="s">
        <v>478</v>
      </c>
      <c r="C30" s="108" t="s">
        <v>483</v>
      </c>
      <c r="D30" s="108"/>
      <c r="E30" s="107"/>
      <c r="F30" s="107"/>
      <c r="G30" s="107"/>
      <c r="H30" s="107"/>
      <c r="I30" s="10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ht="39">
      <c r="A31" s="107"/>
      <c r="B31" s="108" t="s">
        <v>479</v>
      </c>
      <c r="C31" s="108" t="s">
        <v>484</v>
      </c>
      <c r="D31" s="108"/>
      <c r="E31" s="107"/>
      <c r="F31" s="107"/>
      <c r="G31" s="107"/>
      <c r="H31" s="107"/>
      <c r="I31" s="10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2.75">
      <c r="A32" s="107"/>
      <c r="B32" s="108"/>
      <c r="C32" s="108"/>
      <c r="D32" s="108"/>
      <c r="E32" s="107"/>
      <c r="F32" s="107"/>
      <c r="G32" s="107"/>
      <c r="H32" s="107"/>
      <c r="I32" s="10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2.75">
      <c r="A33" s="107"/>
      <c r="B33" s="108"/>
      <c r="C33" s="108"/>
      <c r="D33" s="108"/>
      <c r="E33" s="107"/>
      <c r="F33" s="107"/>
      <c r="G33" s="107"/>
      <c r="H33" s="107"/>
      <c r="I33" s="10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2.75">
      <c r="A34" s="107"/>
      <c r="B34" s="108"/>
      <c r="C34" s="108"/>
      <c r="D34" s="108"/>
      <c r="E34" s="107"/>
      <c r="F34" s="107"/>
      <c r="G34" s="107"/>
      <c r="H34" s="107"/>
      <c r="I34" s="107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12.75">
      <c r="A35" s="107"/>
      <c r="B35" s="108"/>
      <c r="C35" s="108"/>
      <c r="D35" s="108"/>
      <c r="E35" s="107"/>
      <c r="F35" s="107"/>
      <c r="G35" s="107"/>
      <c r="H35" s="107"/>
      <c r="I35" s="107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2.75">
      <c r="A36" s="107"/>
      <c r="B36" s="108"/>
      <c r="C36" s="108"/>
      <c r="D36" s="108"/>
      <c r="E36" s="107"/>
      <c r="F36" s="107"/>
      <c r="G36" s="107"/>
      <c r="H36" s="107"/>
      <c r="I36" s="107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2.75">
      <c r="A37" s="107"/>
      <c r="B37" s="108"/>
      <c r="C37" s="108"/>
      <c r="D37" s="108"/>
      <c r="E37" s="107"/>
      <c r="F37" s="107"/>
      <c r="G37" s="107"/>
      <c r="H37" s="107"/>
      <c r="I37" s="107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2.75">
      <c r="A38" s="107"/>
      <c r="B38" s="108"/>
      <c r="C38" s="108"/>
      <c r="D38" s="108"/>
      <c r="E38" s="107"/>
      <c r="F38" s="107"/>
      <c r="G38" s="107"/>
      <c r="H38" s="107"/>
      <c r="I38" s="10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2.75">
      <c r="A39" s="107"/>
      <c r="B39" s="108"/>
      <c r="C39" s="108"/>
      <c r="D39" s="108"/>
      <c r="E39" s="107"/>
      <c r="F39" s="107"/>
      <c r="G39" s="107"/>
      <c r="H39" s="107"/>
      <c r="I39" s="107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2.75">
      <c r="A40" s="107"/>
      <c r="B40" s="108"/>
      <c r="C40" s="108"/>
      <c r="D40" s="108"/>
      <c r="E40" s="107"/>
      <c r="F40" s="107"/>
      <c r="G40" s="107"/>
      <c r="H40" s="107"/>
      <c r="I40" s="107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2.75">
      <c r="A41" s="107"/>
      <c r="B41" s="108"/>
      <c r="C41" s="108"/>
      <c r="D41" s="108"/>
      <c r="E41" s="107"/>
      <c r="F41" s="107"/>
      <c r="G41" s="107"/>
      <c r="H41" s="107"/>
      <c r="I41" s="107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2.75">
      <c r="A42" s="107"/>
      <c r="B42" s="108"/>
      <c r="C42" s="108"/>
      <c r="D42" s="108"/>
      <c r="E42" s="107"/>
      <c r="F42" s="107"/>
      <c r="G42" s="107"/>
      <c r="H42" s="107"/>
      <c r="I42" s="107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2.75">
      <c r="A43" s="52"/>
      <c r="B43" s="118"/>
      <c r="C43" s="118"/>
      <c r="D43" s="118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2.75">
      <c r="A44" s="52"/>
      <c r="B44" s="118"/>
      <c r="C44" s="118"/>
      <c r="D44" s="11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52"/>
      <c r="B45" s="118"/>
      <c r="C45" s="118"/>
      <c r="D45" s="118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2.75">
      <c r="A46" s="52"/>
      <c r="B46" s="118"/>
      <c r="C46" s="118"/>
      <c r="D46" s="118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2.75">
      <c r="A47" s="52"/>
      <c r="B47" s="118"/>
      <c r="C47" s="118"/>
      <c r="D47" s="118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2.75">
      <c r="A48" s="52"/>
      <c r="B48" s="118"/>
      <c r="C48" s="118"/>
      <c r="D48" s="118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2.75">
      <c r="A49" s="52"/>
      <c r="B49" s="118"/>
      <c r="C49" s="118"/>
      <c r="D49" s="118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2.75">
      <c r="A50" s="52"/>
      <c r="B50" s="118"/>
      <c r="C50" s="118"/>
      <c r="D50" s="11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2.75">
      <c r="A51" s="52"/>
      <c r="B51" s="118"/>
      <c r="C51" s="118"/>
      <c r="D51" s="118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2.75">
      <c r="A52" s="52"/>
      <c r="B52" s="118"/>
      <c r="C52" s="118"/>
      <c r="D52" s="118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2.75">
      <c r="A53" s="52"/>
      <c r="B53" s="118"/>
      <c r="C53" s="118"/>
      <c r="D53" s="118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2.75">
      <c r="A54" s="52"/>
      <c r="B54" s="118"/>
      <c r="C54" s="118"/>
      <c r="D54" s="118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2.75">
      <c r="A55" s="52"/>
      <c r="B55" s="118"/>
      <c r="C55" s="118"/>
      <c r="D55" s="118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2.75">
      <c r="A56" s="52"/>
      <c r="B56" s="118"/>
      <c r="C56" s="118"/>
      <c r="D56" s="118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2.75">
      <c r="A57" s="52"/>
      <c r="B57" s="118"/>
      <c r="C57" s="118"/>
      <c r="D57" s="118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2.75">
      <c r="A58" s="52"/>
      <c r="B58" s="118"/>
      <c r="C58" s="118"/>
      <c r="D58" s="118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1:39" ht="12.75">
      <c r="A59" s="52"/>
      <c r="B59" s="118"/>
      <c r="C59" s="118"/>
      <c r="D59" s="118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1:39" ht="12.75">
      <c r="A60" s="52"/>
      <c r="B60" s="118"/>
      <c r="C60" s="118"/>
      <c r="D60" s="118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</row>
    <row r="61" spans="1:39" ht="12.75">
      <c r="A61" s="52"/>
      <c r="B61" s="118"/>
      <c r="C61" s="118"/>
      <c r="D61" s="118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ht="12.75">
      <c r="A62" s="52"/>
      <c r="B62" s="118"/>
      <c r="C62" s="118"/>
      <c r="D62" s="118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</row>
    <row r="63" spans="1:39" ht="12.75">
      <c r="A63" s="52"/>
      <c r="B63" s="118"/>
      <c r="C63" s="118"/>
      <c r="D63" s="118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1:39" ht="12.75">
      <c r="A64" s="52"/>
      <c r="B64" s="118"/>
      <c r="C64" s="118"/>
      <c r="D64" s="118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1:39" ht="12.75">
      <c r="A65" s="52"/>
      <c r="B65" s="118"/>
      <c r="C65" s="118"/>
      <c r="D65" s="118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1:39" ht="12.75">
      <c r="A66" s="52"/>
      <c r="B66" s="118"/>
      <c r="C66" s="118"/>
      <c r="D66" s="118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1:39" ht="12.75">
      <c r="A67" s="52"/>
      <c r="B67" s="118"/>
      <c r="C67" s="118"/>
      <c r="D67" s="118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1:39" ht="12.75">
      <c r="A68" s="52"/>
      <c r="B68" s="118"/>
      <c r="C68" s="118"/>
      <c r="D68" s="118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1:39" ht="12.75">
      <c r="A69" s="52"/>
      <c r="B69" s="118"/>
      <c r="C69" s="118"/>
      <c r="D69" s="118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1:39" ht="12.75">
      <c r="A70" s="52"/>
      <c r="B70" s="118"/>
      <c r="C70" s="118"/>
      <c r="D70" s="118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1:39" ht="12.75">
      <c r="A71" s="52"/>
      <c r="B71" s="118"/>
      <c r="C71" s="118"/>
      <c r="D71" s="118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1:39" ht="12.75">
      <c r="A72" s="52"/>
      <c r="B72" s="118"/>
      <c r="C72" s="118"/>
      <c r="D72" s="118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1:39" ht="12.75">
      <c r="A73" s="52"/>
      <c r="B73" s="118"/>
      <c r="C73" s="118"/>
      <c r="D73" s="118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1:39" ht="12.75">
      <c r="A74" s="52"/>
      <c r="B74" s="118"/>
      <c r="C74" s="118"/>
      <c r="D74" s="118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</row>
    <row r="75" spans="1:39" ht="12.75">
      <c r="A75" s="52"/>
      <c r="B75" s="118"/>
      <c r="C75" s="118"/>
      <c r="D75" s="118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</row>
    <row r="76" spans="1:39" ht="12.75">
      <c r="A76" s="52"/>
      <c r="B76" s="118"/>
      <c r="C76" s="118"/>
      <c r="D76" s="118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1:39" ht="12.75">
      <c r="A77" s="52"/>
      <c r="B77" s="118"/>
      <c r="C77" s="118"/>
      <c r="D77" s="118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1:39" ht="12.75">
      <c r="A78" s="52"/>
      <c r="B78" s="118"/>
      <c r="C78" s="118"/>
      <c r="D78" s="118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1:39" ht="12.75">
      <c r="A79" s="52"/>
      <c r="B79" s="118"/>
      <c r="C79" s="118"/>
      <c r="D79" s="118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1:39" ht="12.75">
      <c r="A80" s="52"/>
      <c r="B80" s="118"/>
      <c r="C80" s="118"/>
      <c r="D80" s="118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</row>
    <row r="81" spans="1:39" ht="12.75">
      <c r="A81" s="52"/>
      <c r="B81" s="118"/>
      <c r="C81" s="118"/>
      <c r="D81" s="118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1:39" ht="12.75">
      <c r="A82" s="52"/>
      <c r="B82" s="118"/>
      <c r="C82" s="118"/>
      <c r="D82" s="118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  <row r="83" spans="1:39" ht="12.75">
      <c r="A83" s="52"/>
      <c r="B83" s="118"/>
      <c r="C83" s="118"/>
      <c r="D83" s="118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</row>
    <row r="84" spans="1:39" ht="12.75">
      <c r="A84" s="52"/>
      <c r="B84" s="118"/>
      <c r="C84" s="118"/>
      <c r="D84" s="118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</row>
    <row r="85" spans="1:39" ht="12.75">
      <c r="A85" s="52"/>
      <c r="B85" s="118"/>
      <c r="C85" s="118"/>
      <c r="D85" s="118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1:39" ht="12.75">
      <c r="A86" s="52"/>
      <c r="B86" s="118"/>
      <c r="C86" s="118"/>
      <c r="D86" s="118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</row>
    <row r="87" spans="1:39" ht="12.75">
      <c r="A87" s="52"/>
      <c r="B87" s="118"/>
      <c r="C87" s="118"/>
      <c r="D87" s="118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</row>
    <row r="88" spans="1:39" ht="12.75">
      <c r="A88" s="52"/>
      <c r="B88" s="118"/>
      <c r="C88" s="118"/>
      <c r="D88" s="118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</row>
    <row r="89" spans="1:39" ht="12.75">
      <c r="A89" s="52"/>
      <c r="B89" s="118"/>
      <c r="C89" s="118"/>
      <c r="D89" s="118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</row>
    <row r="90" spans="1:39" ht="12.75">
      <c r="A90" s="52"/>
      <c r="B90" s="118"/>
      <c r="C90" s="118"/>
      <c r="D90" s="118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</row>
    <row r="91" spans="1:39" ht="12.75">
      <c r="A91" s="52"/>
      <c r="B91" s="118"/>
      <c r="C91" s="118"/>
      <c r="D91" s="118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</row>
    <row r="92" spans="1:39" ht="12.75">
      <c r="A92" s="52"/>
      <c r="B92" s="118"/>
      <c r="C92" s="118"/>
      <c r="D92" s="118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</row>
    <row r="93" spans="1:39" ht="12.75">
      <c r="A93" s="52"/>
      <c r="B93" s="118"/>
      <c r="C93" s="118"/>
      <c r="D93" s="118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</row>
    <row r="94" spans="1:39" ht="12.75">
      <c r="A94" s="52"/>
      <c r="B94" s="118"/>
      <c r="C94" s="118"/>
      <c r="D94" s="118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</row>
    <row r="95" spans="1:39" ht="12.75">
      <c r="A95" s="52"/>
      <c r="B95" s="118"/>
      <c r="C95" s="118"/>
      <c r="D95" s="118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</row>
    <row r="96" spans="1:39" ht="12.75">
      <c r="A96" s="52"/>
      <c r="B96" s="118"/>
      <c r="C96" s="118"/>
      <c r="D96" s="118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</row>
    <row r="97" spans="1:39" ht="12.75">
      <c r="A97" s="52"/>
      <c r="B97" s="118"/>
      <c r="C97" s="118"/>
      <c r="D97" s="118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</row>
    <row r="98" spans="1:39" ht="12.75">
      <c r="A98" s="52"/>
      <c r="B98" s="118"/>
      <c r="C98" s="118"/>
      <c r="D98" s="118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</row>
    <row r="99" spans="1:39" ht="12.75">
      <c r="A99" s="52"/>
      <c r="B99" s="118"/>
      <c r="C99" s="118"/>
      <c r="D99" s="118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</row>
    <row r="100" spans="1:39" ht="12.75">
      <c r="A100" s="52"/>
      <c r="B100" s="118"/>
      <c r="C100" s="118"/>
      <c r="D100" s="118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</row>
    <row r="101" spans="1:39" ht="12.75">
      <c r="A101" s="52"/>
      <c r="B101" s="118"/>
      <c r="C101" s="118"/>
      <c r="D101" s="118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</row>
    <row r="102" spans="1:39" ht="12.75">
      <c r="A102" s="52"/>
      <c r="B102" s="118"/>
      <c r="C102" s="118"/>
      <c r="D102" s="118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</row>
    <row r="103" spans="1:39" ht="12.75">
      <c r="A103" s="52"/>
      <c r="B103" s="118"/>
      <c r="C103" s="118"/>
      <c r="D103" s="118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</row>
    <row r="104" spans="1:39" ht="12.75">
      <c r="A104" s="52"/>
      <c r="B104" s="118"/>
      <c r="C104" s="118"/>
      <c r="D104" s="118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</row>
    <row r="105" spans="1:39" ht="12.75">
      <c r="A105" s="52"/>
      <c r="B105" s="118"/>
      <c r="C105" s="118"/>
      <c r="D105" s="118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</row>
    <row r="106" spans="1:39" ht="12.75">
      <c r="A106" s="52"/>
      <c r="B106" s="118"/>
      <c r="C106" s="118"/>
      <c r="D106" s="118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1:39" ht="12.75">
      <c r="A107" s="52"/>
      <c r="B107" s="118"/>
      <c r="C107" s="118"/>
      <c r="D107" s="118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</row>
    <row r="108" spans="1:39" ht="12.75">
      <c r="A108" s="52"/>
      <c r="B108" s="118"/>
      <c r="C108" s="118"/>
      <c r="D108" s="118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</row>
    <row r="109" spans="1:39" ht="12.75">
      <c r="A109" s="52"/>
      <c r="B109" s="118"/>
      <c r="C109" s="118"/>
      <c r="D109" s="118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</row>
  </sheetData>
  <sheetProtection/>
  <printOptions/>
  <pageMargins left="0.75" right="0.75" top="1" bottom="1" header="0.5" footer="0.5"/>
  <pageSetup horizontalDpi="525" verticalDpi="525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showGridLines="0" zoomScalePageLayoutView="0" workbookViewId="0" topLeftCell="A1">
      <selection activeCell="C30" sqref="C30"/>
    </sheetView>
  </sheetViews>
  <sheetFormatPr defaultColWidth="8.8515625" defaultRowHeight="12.75"/>
  <cols>
    <col min="1" max="1" width="18.140625" style="0" customWidth="1"/>
    <col min="2" max="2" width="11.421875" style="0" customWidth="1"/>
    <col min="3" max="3" width="11.8515625" style="0" customWidth="1"/>
  </cols>
  <sheetData>
    <row r="1" spans="1:7" ht="13.5">
      <c r="A1" s="153" t="s">
        <v>434</v>
      </c>
      <c r="B1" s="265">
        <v>2009</v>
      </c>
      <c r="C1" s="266"/>
      <c r="D1" s="264">
        <v>2008</v>
      </c>
      <c r="E1" s="264"/>
      <c r="F1" s="264">
        <v>2007</v>
      </c>
      <c r="G1" s="264"/>
    </row>
    <row r="2" spans="1:7" ht="13.5">
      <c r="A2" s="154"/>
      <c r="B2" s="155" t="s">
        <v>435</v>
      </c>
      <c r="C2" s="155" t="s">
        <v>436</v>
      </c>
      <c r="D2" s="155" t="s">
        <v>435</v>
      </c>
      <c r="E2" s="155" t="s">
        <v>436</v>
      </c>
      <c r="F2" s="155" t="s">
        <v>435</v>
      </c>
      <c r="G2" s="155" t="s">
        <v>436</v>
      </c>
    </row>
    <row r="3" spans="1:7" ht="27.75">
      <c r="A3" s="154" t="s">
        <v>456</v>
      </c>
      <c r="B3" s="149">
        <v>110857</v>
      </c>
      <c r="C3" s="149">
        <v>10466</v>
      </c>
      <c r="D3" s="149">
        <v>110449</v>
      </c>
      <c r="E3" s="149">
        <v>11532</v>
      </c>
      <c r="F3" s="149">
        <v>105913</v>
      </c>
      <c r="G3" s="149">
        <v>11456</v>
      </c>
    </row>
    <row r="4" spans="1:7" ht="27.75">
      <c r="A4" s="154" t="s">
        <v>457</v>
      </c>
      <c r="B4" s="149">
        <v>6546</v>
      </c>
      <c r="C4" s="149">
        <v>618</v>
      </c>
      <c r="D4" s="149">
        <v>6237</v>
      </c>
      <c r="E4" s="149">
        <v>653</v>
      </c>
      <c r="F4" s="149">
        <v>8237</v>
      </c>
      <c r="G4" s="149">
        <v>891</v>
      </c>
    </row>
    <row r="5" spans="1:7" ht="27.75">
      <c r="A5" s="154" t="s">
        <v>467</v>
      </c>
      <c r="B5" s="149">
        <v>4830</v>
      </c>
      <c r="C5" s="149">
        <v>456</v>
      </c>
      <c r="D5" s="149">
        <v>5598</v>
      </c>
      <c r="E5" s="149">
        <v>584</v>
      </c>
      <c r="F5" s="149">
        <v>7161</v>
      </c>
      <c r="G5" s="149">
        <v>775</v>
      </c>
    </row>
    <row r="6" spans="1:7" ht="27.75">
      <c r="A6" s="154" t="s">
        <v>458</v>
      </c>
      <c r="B6" s="149"/>
      <c r="C6" s="149"/>
      <c r="D6" s="149">
        <v>5598</v>
      </c>
      <c r="E6" s="149"/>
      <c r="F6" s="149">
        <v>6908</v>
      </c>
      <c r="G6" s="149"/>
    </row>
    <row r="7" spans="1:7" ht="13.5">
      <c r="A7" s="154" t="s">
        <v>459</v>
      </c>
      <c r="B7" s="148"/>
      <c r="C7" s="148"/>
      <c r="D7" s="148" t="s">
        <v>441</v>
      </c>
      <c r="E7" s="148"/>
      <c r="F7" s="148" t="s">
        <v>442</v>
      </c>
      <c r="G7" s="148"/>
    </row>
    <row r="8" spans="1:7" ht="13.5">
      <c r="A8" s="154" t="s">
        <v>468</v>
      </c>
      <c r="B8" s="148"/>
      <c r="C8" s="148"/>
      <c r="D8" s="148" t="s">
        <v>441</v>
      </c>
      <c r="E8" s="148"/>
      <c r="F8" s="148" t="s">
        <v>443</v>
      </c>
      <c r="G8" s="148"/>
    </row>
    <row r="9" spans="1:7" ht="27.75">
      <c r="A9" s="154" t="s">
        <v>460</v>
      </c>
      <c r="B9" s="150"/>
      <c r="C9" s="150"/>
      <c r="D9" s="150" t="s">
        <v>445</v>
      </c>
      <c r="E9" s="150"/>
      <c r="F9" s="150" t="s">
        <v>446</v>
      </c>
      <c r="G9" s="150"/>
    </row>
    <row r="10" spans="1:7" ht="13.5">
      <c r="A10" s="154" t="s">
        <v>469</v>
      </c>
      <c r="B10" s="150"/>
      <c r="C10" s="150"/>
      <c r="D10" s="150" t="s">
        <v>447</v>
      </c>
      <c r="E10" s="150"/>
      <c r="F10" s="150" t="s">
        <v>448</v>
      </c>
      <c r="G10" s="150"/>
    </row>
    <row r="11" spans="1:7" ht="42">
      <c r="A11" s="154" t="s">
        <v>461</v>
      </c>
      <c r="B11" s="149">
        <v>-3082</v>
      </c>
      <c r="C11" s="149">
        <v>-290.967919340055</v>
      </c>
      <c r="D11" s="149">
        <v>-4873</v>
      </c>
      <c r="E11" s="149">
        <v>-509</v>
      </c>
      <c r="F11" s="149">
        <v>-5887</v>
      </c>
      <c r="G11" s="149">
        <v>-637</v>
      </c>
    </row>
    <row r="12" spans="1:7" ht="27.75">
      <c r="A12" s="154" t="s">
        <v>462</v>
      </c>
      <c r="B12" s="149">
        <v>67906</v>
      </c>
      <c r="C12" s="149">
        <v>6577</v>
      </c>
      <c r="D12" s="149">
        <v>67252</v>
      </c>
      <c r="E12" s="149">
        <v>6149</v>
      </c>
      <c r="F12" s="149">
        <v>64279</v>
      </c>
      <c r="G12" s="149">
        <v>6792</v>
      </c>
    </row>
    <row r="13" spans="1:7" ht="27.75">
      <c r="A13" s="154" t="s">
        <v>284</v>
      </c>
      <c r="B13" s="151">
        <v>7</v>
      </c>
      <c r="C13" s="151"/>
      <c r="D13" s="151">
        <v>9</v>
      </c>
      <c r="E13" s="151"/>
      <c r="F13" s="151">
        <v>12</v>
      </c>
      <c r="G13" s="151"/>
    </row>
    <row r="14" spans="1:7" ht="13.5">
      <c r="A14" s="154" t="s">
        <v>463</v>
      </c>
      <c r="B14" s="150" t="s">
        <v>493</v>
      </c>
      <c r="C14" s="150"/>
      <c r="D14" s="150" t="s">
        <v>453</v>
      </c>
      <c r="E14" s="150"/>
      <c r="F14" s="150" t="s">
        <v>454</v>
      </c>
      <c r="G14" s="150"/>
    </row>
    <row r="15" spans="1:7" ht="15" thickBot="1">
      <c r="A15" s="156" t="s">
        <v>464</v>
      </c>
      <c r="B15" s="259">
        <v>49531</v>
      </c>
      <c r="C15" s="152"/>
      <c r="D15" s="152">
        <v>51999</v>
      </c>
      <c r="E15" s="152"/>
      <c r="F15" s="152">
        <v>50433</v>
      </c>
      <c r="G15" s="152"/>
    </row>
    <row r="18" spans="1:7" ht="12.75">
      <c r="A18" s="136" t="s">
        <v>507</v>
      </c>
      <c r="C18" s="260"/>
      <c r="D18" s="260"/>
      <c r="E18" s="260"/>
      <c r="F18" s="260"/>
      <c r="G18" s="260"/>
    </row>
    <row r="19" spans="1:7" ht="12.75">
      <c r="A19" s="136" t="s">
        <v>505</v>
      </c>
      <c r="C19" s="260">
        <v>10.593</v>
      </c>
      <c r="D19" s="260"/>
      <c r="E19" s="260">
        <v>9.58</v>
      </c>
      <c r="F19" s="260"/>
      <c r="G19" s="260">
        <v>9.25</v>
      </c>
    </row>
    <row r="20" spans="1:7" ht="12.75">
      <c r="A20" t="s">
        <v>506</v>
      </c>
      <c r="C20" s="260">
        <v>10.324</v>
      </c>
      <c r="D20" s="260"/>
      <c r="E20" s="260">
        <v>10.94</v>
      </c>
      <c r="F20" s="260"/>
      <c r="G20" s="260">
        <v>9.46</v>
      </c>
    </row>
  </sheetData>
  <sheetProtection/>
  <mergeCells count="3">
    <mergeCell ref="D1:E1"/>
    <mergeCell ref="F1:G1"/>
    <mergeCell ref="B1:C1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21"/>
  <sheetViews>
    <sheetView showGridLines="0" zoomScalePageLayoutView="0" workbookViewId="0" topLeftCell="A1">
      <selection activeCell="B13" sqref="B13"/>
    </sheetView>
  </sheetViews>
  <sheetFormatPr defaultColWidth="8.8515625" defaultRowHeight="12.75"/>
  <cols>
    <col min="1" max="1" width="18.140625" style="0" customWidth="1"/>
    <col min="2" max="2" width="10.421875" style="0" customWidth="1"/>
    <col min="3" max="3" width="9.28125" style="0" customWidth="1"/>
  </cols>
  <sheetData>
    <row r="1" spans="1:7" ht="13.5">
      <c r="A1" s="153" t="s">
        <v>434</v>
      </c>
      <c r="B1" s="264" t="s">
        <v>491</v>
      </c>
      <c r="C1" s="264"/>
      <c r="D1" s="264">
        <v>2008</v>
      </c>
      <c r="E1" s="264"/>
      <c r="F1" s="264">
        <v>2007</v>
      </c>
      <c r="G1" s="264"/>
    </row>
    <row r="2" spans="1:7" ht="13.5">
      <c r="A2" s="154"/>
      <c r="B2" s="155" t="s">
        <v>435</v>
      </c>
      <c r="C2" s="155" t="s">
        <v>436</v>
      </c>
      <c r="D2" s="155" t="s">
        <v>435</v>
      </c>
      <c r="E2" s="155" t="s">
        <v>436</v>
      </c>
      <c r="F2" s="155" t="s">
        <v>435</v>
      </c>
      <c r="G2" s="155" t="s">
        <v>436</v>
      </c>
    </row>
    <row r="3" spans="1:7" ht="13.5">
      <c r="A3" s="154" t="s">
        <v>437</v>
      </c>
      <c r="B3" s="149">
        <v>110857</v>
      </c>
      <c r="C3" s="149">
        <v>10466</v>
      </c>
      <c r="D3" s="149">
        <v>110449</v>
      </c>
      <c r="E3" s="149">
        <v>11532</v>
      </c>
      <c r="F3" s="149">
        <v>105913</v>
      </c>
      <c r="G3" s="149">
        <v>11456</v>
      </c>
    </row>
    <row r="4" spans="1:9" ht="27.75">
      <c r="A4" s="154" t="s">
        <v>438</v>
      </c>
      <c r="B4" s="149">
        <v>6546</v>
      </c>
      <c r="C4" s="149">
        <v>618</v>
      </c>
      <c r="D4" s="149">
        <v>6237</v>
      </c>
      <c r="E4" s="149">
        <v>651</v>
      </c>
      <c r="F4" s="149">
        <v>8237</v>
      </c>
      <c r="G4" s="149">
        <v>891</v>
      </c>
      <c r="I4" s="260"/>
    </row>
    <row r="5" spans="1:7" ht="27.75">
      <c r="A5" s="154" t="s">
        <v>439</v>
      </c>
      <c r="B5" s="149">
        <v>4830</v>
      </c>
      <c r="C5" s="149">
        <v>456</v>
      </c>
      <c r="D5" s="149">
        <v>5598</v>
      </c>
      <c r="E5" s="149">
        <v>584</v>
      </c>
      <c r="F5" s="149">
        <v>7161</v>
      </c>
      <c r="G5" s="149">
        <v>775</v>
      </c>
    </row>
    <row r="6" spans="1:7" ht="27.75">
      <c r="A6" s="154" t="s">
        <v>465</v>
      </c>
      <c r="B6" s="149"/>
      <c r="C6" s="149"/>
      <c r="D6" s="149">
        <v>5598</v>
      </c>
      <c r="E6" s="149"/>
      <c r="F6" s="149">
        <v>6908</v>
      </c>
      <c r="G6" s="149"/>
    </row>
    <row r="7" spans="1:7" ht="13.5">
      <c r="A7" s="154" t="s">
        <v>440</v>
      </c>
      <c r="B7" s="148"/>
      <c r="C7" s="148"/>
      <c r="D7" s="148" t="s">
        <v>441</v>
      </c>
      <c r="E7" s="148"/>
      <c r="F7" s="148" t="s">
        <v>442</v>
      </c>
      <c r="G7" s="148"/>
    </row>
    <row r="8" spans="1:7" ht="13.5">
      <c r="A8" s="154" t="s">
        <v>466</v>
      </c>
      <c r="B8" s="148"/>
      <c r="C8" s="148"/>
      <c r="D8" s="148" t="s">
        <v>441</v>
      </c>
      <c r="E8" s="148"/>
      <c r="F8" s="148" t="s">
        <v>443</v>
      </c>
      <c r="G8" s="148"/>
    </row>
    <row r="9" spans="1:7" ht="42">
      <c r="A9" s="154" t="s">
        <v>444</v>
      </c>
      <c r="B9" s="150"/>
      <c r="C9" s="150"/>
      <c r="D9" s="150" t="s">
        <v>445</v>
      </c>
      <c r="E9" s="150"/>
      <c r="F9" s="150" t="s">
        <v>446</v>
      </c>
      <c r="G9" s="150"/>
    </row>
    <row r="10" spans="1:7" ht="13.5">
      <c r="A10" s="154" t="s">
        <v>470</v>
      </c>
      <c r="B10" s="150"/>
      <c r="C10" s="150"/>
      <c r="D10" s="150" t="s">
        <v>447</v>
      </c>
      <c r="E10" s="150"/>
      <c r="F10" s="150" t="s">
        <v>448</v>
      </c>
      <c r="G10" s="150"/>
    </row>
    <row r="11" spans="1:7" ht="42">
      <c r="A11" s="154" t="s">
        <v>449</v>
      </c>
      <c r="B11" s="149">
        <v>-3082</v>
      </c>
      <c r="C11" s="149">
        <v>-290.967919340055</v>
      </c>
      <c r="D11" s="149">
        <v>-4873</v>
      </c>
      <c r="E11" s="149">
        <v>-509</v>
      </c>
      <c r="F11" s="149">
        <v>-5887</v>
      </c>
      <c r="G11" s="149">
        <v>-637</v>
      </c>
    </row>
    <row r="12" spans="1:7" ht="13.5">
      <c r="A12" s="154" t="s">
        <v>450</v>
      </c>
      <c r="B12" s="149">
        <v>67906</v>
      </c>
      <c r="C12" s="149">
        <v>6577.234512417186</v>
      </c>
      <c r="D12" s="149">
        <v>67252</v>
      </c>
      <c r="E12" s="149">
        <v>6149</v>
      </c>
      <c r="F12" s="149">
        <v>64279</v>
      </c>
      <c r="G12" s="149">
        <v>6792</v>
      </c>
    </row>
    <row r="13" spans="1:7" ht="13.5">
      <c r="A13" s="154" t="s">
        <v>451</v>
      </c>
      <c r="B13" s="151">
        <v>7</v>
      </c>
      <c r="C13" s="151"/>
      <c r="D13" s="151">
        <v>9</v>
      </c>
      <c r="E13" s="151"/>
      <c r="F13" s="151">
        <v>12</v>
      </c>
      <c r="G13" s="151"/>
    </row>
    <row r="14" spans="1:7" ht="27.75">
      <c r="A14" s="154" t="s">
        <v>452</v>
      </c>
      <c r="B14" s="150" t="s">
        <v>493</v>
      </c>
      <c r="C14" s="150"/>
      <c r="D14" s="150" t="s">
        <v>453</v>
      </c>
      <c r="E14" s="150"/>
      <c r="F14" s="150" t="s">
        <v>454</v>
      </c>
      <c r="G14" s="150"/>
    </row>
    <row r="15" spans="1:7" ht="28.5" thickBot="1">
      <c r="A15" s="156" t="s">
        <v>455</v>
      </c>
      <c r="B15" s="259">
        <v>49531</v>
      </c>
      <c r="C15" s="152"/>
      <c r="D15" s="152">
        <v>51999</v>
      </c>
      <c r="E15" s="152"/>
      <c r="F15" s="152">
        <v>50433</v>
      </c>
      <c r="G15" s="152"/>
    </row>
    <row r="17" ht="12.75">
      <c r="A17" s="136"/>
    </row>
    <row r="18" spans="1:8" ht="12.75">
      <c r="A18" s="136" t="s">
        <v>507</v>
      </c>
      <c r="C18" s="260"/>
      <c r="D18" s="260"/>
      <c r="E18" s="260"/>
      <c r="F18" s="260"/>
      <c r="G18" s="260"/>
      <c r="H18" s="260"/>
    </row>
    <row r="19" spans="1:8" ht="12.75">
      <c r="A19" s="136" t="s">
        <v>505</v>
      </c>
      <c r="C19" s="260">
        <v>10.593</v>
      </c>
      <c r="D19" s="260"/>
      <c r="E19" s="260">
        <v>9.58</v>
      </c>
      <c r="F19" s="260"/>
      <c r="G19" s="260">
        <v>9.25</v>
      </c>
      <c r="H19" s="260"/>
    </row>
    <row r="20" spans="1:8" ht="12.75">
      <c r="A20" t="s">
        <v>506</v>
      </c>
      <c r="C20" s="260">
        <v>10.324</v>
      </c>
      <c r="D20" s="260"/>
      <c r="E20" s="260">
        <v>10.94</v>
      </c>
      <c r="F20" s="260"/>
      <c r="G20" s="260">
        <v>9.46</v>
      </c>
      <c r="H20" s="260"/>
    </row>
    <row r="21" spans="3:8" ht="12.75">
      <c r="C21" s="260"/>
      <c r="D21" s="260"/>
      <c r="E21" s="260"/>
      <c r="F21" s="260"/>
      <c r="G21" s="260"/>
      <c r="H21" s="260"/>
    </row>
  </sheetData>
  <sheetProtection/>
  <mergeCells count="3">
    <mergeCell ref="D1:E1"/>
    <mergeCell ref="F1:G1"/>
    <mergeCell ref="B1:C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51"/>
  <sheetViews>
    <sheetView showGridLines="0" zoomScalePageLayoutView="0" workbookViewId="0" topLeftCell="A1">
      <selection activeCell="C42" sqref="C42"/>
    </sheetView>
  </sheetViews>
  <sheetFormatPr defaultColWidth="8.8515625" defaultRowHeight="12.75"/>
  <cols>
    <col min="1" max="1" width="8.8515625" style="0" customWidth="1"/>
    <col min="2" max="2" width="56.28125" style="0" bestFit="1" customWidth="1"/>
    <col min="3" max="3" width="56.140625" style="0" bestFit="1" customWidth="1"/>
    <col min="4" max="4" width="21.421875" style="0" bestFit="1" customWidth="1"/>
    <col min="5" max="5" width="9.421875" style="0" customWidth="1"/>
    <col min="6" max="7" width="10.140625" style="0" bestFit="1" customWidth="1"/>
  </cols>
  <sheetData>
    <row r="1" spans="2:16" s="2" customFormat="1" ht="18">
      <c r="B1" s="29" t="s">
        <v>170</v>
      </c>
      <c r="C1" s="29" t="s">
        <v>299</v>
      </c>
      <c r="D1" s="29"/>
      <c r="E1" s="29"/>
      <c r="F1" s="29"/>
      <c r="G1" s="29"/>
      <c r="H1" s="15"/>
      <c r="I1" s="15"/>
      <c r="J1" s="15"/>
      <c r="K1" s="15"/>
      <c r="L1" s="15"/>
      <c r="M1" s="15"/>
      <c r="N1" s="15"/>
      <c r="O1" s="15"/>
      <c r="P1" s="15"/>
    </row>
    <row r="2" spans="6:25" s="2" customFormat="1" ht="12.75">
      <c r="F2" s="75"/>
      <c r="G2" s="75"/>
      <c r="H2" s="74"/>
      <c r="I2" s="74"/>
      <c r="J2" s="15"/>
      <c r="K2" s="15"/>
      <c r="L2" s="15"/>
      <c r="M2" s="15"/>
      <c r="N2" s="15"/>
      <c r="O2" s="15"/>
      <c r="P2" s="15"/>
      <c r="X2" s="23"/>
      <c r="Y2" s="23"/>
    </row>
    <row r="3" spans="1:19" ht="12.75">
      <c r="A3" s="120"/>
      <c r="B3" s="121" t="s">
        <v>424</v>
      </c>
      <c r="C3" s="121" t="s">
        <v>504</v>
      </c>
      <c r="D3" s="72" t="s">
        <v>514</v>
      </c>
      <c r="E3" s="124">
        <v>2009</v>
      </c>
      <c r="F3" s="124">
        <v>2008</v>
      </c>
      <c r="G3" s="124">
        <v>2007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12.75">
      <c r="B4" s="143" t="s">
        <v>316</v>
      </c>
      <c r="C4" t="s">
        <v>317</v>
      </c>
      <c r="D4" s="6">
        <v>6</v>
      </c>
      <c r="E4" s="96">
        <v>110857</v>
      </c>
      <c r="F4" s="123">
        <v>110449</v>
      </c>
      <c r="G4" s="96">
        <v>105913</v>
      </c>
      <c r="I4" s="96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2.75">
      <c r="B5" s="143" t="s">
        <v>318</v>
      </c>
      <c r="C5" s="143" t="s">
        <v>319</v>
      </c>
      <c r="D5" s="6">
        <v>5</v>
      </c>
      <c r="E5" s="96">
        <v>-84744</v>
      </c>
      <c r="F5" s="123">
        <v>-89684</v>
      </c>
      <c r="G5" s="96">
        <v>-84812</v>
      </c>
      <c r="I5" s="96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t="s">
        <v>171</v>
      </c>
      <c r="B6" s="95" t="s">
        <v>320</v>
      </c>
      <c r="C6" s="95" t="s">
        <v>321</v>
      </c>
      <c r="D6" s="101"/>
      <c r="E6" s="96">
        <v>26113</v>
      </c>
      <c r="F6" s="123">
        <v>20765</v>
      </c>
      <c r="G6" s="96">
        <v>21101</v>
      </c>
      <c r="I6" s="96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2.75">
      <c r="B7" t="s">
        <v>322</v>
      </c>
      <c r="C7" t="s">
        <v>433</v>
      </c>
      <c r="D7" s="6">
        <v>5</v>
      </c>
      <c r="E7" s="96">
        <v>-16500</v>
      </c>
      <c r="F7" s="123">
        <v>-12236</v>
      </c>
      <c r="G7" s="96">
        <v>-7469</v>
      </c>
      <c r="I7" s="96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12.75">
      <c r="B8" t="s">
        <v>323</v>
      </c>
      <c r="C8" t="s">
        <v>324</v>
      </c>
      <c r="D8" s="6">
        <v>5</v>
      </c>
      <c r="E8" s="96">
        <v>-1458</v>
      </c>
      <c r="F8" s="123" t="s">
        <v>325</v>
      </c>
      <c r="G8" s="96">
        <v>-3534</v>
      </c>
      <c r="I8" s="96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12.75">
      <c r="B9" t="s">
        <v>326</v>
      </c>
      <c r="C9" t="s">
        <v>327</v>
      </c>
      <c r="D9" s="6"/>
      <c r="E9" s="96">
        <v>35</v>
      </c>
      <c r="F9" s="123">
        <v>25</v>
      </c>
      <c r="G9" s="96">
        <v>49</v>
      </c>
      <c r="I9" s="96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t="s">
        <v>171</v>
      </c>
      <c r="B10" s="95" t="s">
        <v>328</v>
      </c>
      <c r="C10" s="95" t="s">
        <v>329</v>
      </c>
      <c r="D10" s="101"/>
      <c r="E10" s="96">
        <v>8190</v>
      </c>
      <c r="F10" s="123">
        <v>8554</v>
      </c>
      <c r="G10" s="96">
        <v>10147</v>
      </c>
      <c r="I10" s="9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.75">
      <c r="B11" t="s">
        <v>330</v>
      </c>
      <c r="C11" t="s">
        <v>331</v>
      </c>
      <c r="D11" s="6">
        <v>9</v>
      </c>
      <c r="E11" s="129">
        <v>158</v>
      </c>
      <c r="F11" s="123">
        <v>246</v>
      </c>
      <c r="G11" s="96">
        <v>193</v>
      </c>
      <c r="I11" s="9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t="s">
        <v>332</v>
      </c>
      <c r="C12" t="s">
        <v>333</v>
      </c>
      <c r="D12" s="6">
        <v>9</v>
      </c>
      <c r="E12" s="129">
        <v>-1802</v>
      </c>
      <c r="F12" s="123">
        <v>-2563</v>
      </c>
      <c r="G12" s="96">
        <v>-2103</v>
      </c>
      <c r="I12" s="9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t="s">
        <v>171</v>
      </c>
      <c r="B13" s="95" t="s">
        <v>334</v>
      </c>
      <c r="C13" s="95" t="s">
        <v>335</v>
      </c>
      <c r="D13" s="101"/>
      <c r="E13" s="96">
        <v>6546</v>
      </c>
      <c r="F13" s="123">
        <v>6237</v>
      </c>
      <c r="G13" s="96">
        <v>8237</v>
      </c>
      <c r="I13" s="9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2:20" ht="12.75">
      <c r="B14" t="s">
        <v>336</v>
      </c>
      <c r="C14" s="98" t="s">
        <v>337</v>
      </c>
      <c r="D14" s="6">
        <v>10</v>
      </c>
      <c r="E14" s="96">
        <v>-1716</v>
      </c>
      <c r="F14" s="123">
        <v>-639</v>
      </c>
      <c r="G14" s="96">
        <v>-1076</v>
      </c>
      <c r="I14" s="9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ht="12.75">
      <c r="B15" s="95" t="s">
        <v>338</v>
      </c>
      <c r="C15" s="95" t="s">
        <v>339</v>
      </c>
      <c r="D15" s="95"/>
      <c r="E15" s="96">
        <v>4830</v>
      </c>
      <c r="F15" s="123">
        <v>5598</v>
      </c>
      <c r="G15" s="96">
        <v>7161</v>
      </c>
      <c r="I15" s="9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12.75">
      <c r="B16" s="95"/>
      <c r="C16" s="95"/>
      <c r="D16" s="95"/>
      <c r="E16" s="96"/>
      <c r="F16" s="123"/>
      <c r="G16" s="96"/>
      <c r="I16" s="9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t="s">
        <v>171</v>
      </c>
      <c r="B17" s="95" t="s">
        <v>340</v>
      </c>
      <c r="C17" s="95" t="s">
        <v>341</v>
      </c>
      <c r="D17" s="95"/>
      <c r="E17" s="96"/>
      <c r="F17" s="123"/>
      <c r="G17" s="96"/>
      <c r="I17" s="9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2.75">
      <c r="B18" t="s">
        <v>342</v>
      </c>
      <c r="C18" t="s">
        <v>343</v>
      </c>
      <c r="E18" s="96">
        <v>4765</v>
      </c>
      <c r="F18" s="123">
        <v>5578</v>
      </c>
      <c r="G18" s="96">
        <v>7138</v>
      </c>
      <c r="I18" s="9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2.75">
      <c r="B19" t="s">
        <v>344</v>
      </c>
      <c r="C19" t="s">
        <v>345</v>
      </c>
      <c r="E19" s="96">
        <v>65</v>
      </c>
      <c r="F19" s="123">
        <v>20</v>
      </c>
      <c r="G19" s="96">
        <v>23</v>
      </c>
      <c r="I19" s="9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5:20" ht="12.75">
      <c r="E20" s="96"/>
      <c r="F20" s="123"/>
      <c r="G20" s="96"/>
      <c r="I20" s="9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9" ht="12.75">
      <c r="A21" t="s">
        <v>171</v>
      </c>
      <c r="B21" s="95" t="s">
        <v>346</v>
      </c>
      <c r="C21" s="95" t="s">
        <v>347</v>
      </c>
      <c r="D21" s="95"/>
      <c r="F21" s="53"/>
      <c r="I21" s="96"/>
    </row>
    <row r="22" spans="2:9" ht="12.75">
      <c r="B22" t="s">
        <v>348</v>
      </c>
      <c r="C22" t="s">
        <v>349</v>
      </c>
      <c r="E22" s="73" t="s">
        <v>325</v>
      </c>
      <c r="F22" s="53" t="s">
        <v>325</v>
      </c>
      <c r="G22" s="73" t="s">
        <v>325</v>
      </c>
      <c r="I22" s="96"/>
    </row>
    <row r="23" spans="2:9" ht="12.75">
      <c r="B23" t="s">
        <v>350</v>
      </c>
      <c r="C23" t="s">
        <v>351</v>
      </c>
      <c r="E23" s="234" t="s">
        <v>495</v>
      </c>
      <c r="F23" s="53" t="s">
        <v>352</v>
      </c>
      <c r="G23" s="96" t="s">
        <v>382</v>
      </c>
      <c r="I23" s="96"/>
    </row>
    <row r="24" spans="2:9" ht="12.75">
      <c r="B24" t="s">
        <v>353</v>
      </c>
      <c r="C24" t="s">
        <v>354</v>
      </c>
      <c r="E24" s="234" t="s">
        <v>495</v>
      </c>
      <c r="F24" s="53" t="s">
        <v>352</v>
      </c>
      <c r="G24" s="96" t="s">
        <v>383</v>
      </c>
      <c r="I24" s="96"/>
    </row>
    <row r="25" spans="2:9" ht="15">
      <c r="B25" t="s">
        <v>355</v>
      </c>
      <c r="C25" t="s">
        <v>356</v>
      </c>
      <c r="D25" s="235"/>
      <c r="E25" s="234" t="s">
        <v>508</v>
      </c>
      <c r="F25" s="237" t="s">
        <v>494</v>
      </c>
      <c r="G25" s="234" t="s">
        <v>496</v>
      </c>
      <c r="I25" s="96"/>
    </row>
    <row r="26" spans="1:9" ht="12.75">
      <c r="A26" t="s">
        <v>171</v>
      </c>
      <c r="B26" s="95" t="s">
        <v>357</v>
      </c>
      <c r="C26" s="95" t="s">
        <v>358</v>
      </c>
      <c r="D26" s="95"/>
      <c r="E26" s="96">
        <v>4765</v>
      </c>
      <c r="F26" s="123">
        <v>5578</v>
      </c>
      <c r="G26" s="96">
        <v>7138</v>
      </c>
      <c r="I26" s="96"/>
    </row>
    <row r="27" spans="2:9" ht="12.75">
      <c r="B27" t="s">
        <v>359</v>
      </c>
      <c r="C27" s="122" t="s">
        <v>360</v>
      </c>
      <c r="E27" s="96">
        <v>702</v>
      </c>
      <c r="F27" s="128">
        <v>702.2</v>
      </c>
      <c r="G27" s="96">
        <v>701.8</v>
      </c>
      <c r="I27" s="96"/>
    </row>
    <row r="28" spans="2:9" ht="12.75">
      <c r="B28" t="s">
        <v>361</v>
      </c>
      <c r="C28" t="s">
        <v>362</v>
      </c>
      <c r="E28" s="96">
        <v>0</v>
      </c>
      <c r="F28" s="53">
        <v>0.2</v>
      </c>
      <c r="G28" s="96">
        <v>0.4</v>
      </c>
      <c r="I28" s="96"/>
    </row>
    <row r="29" spans="2:9" ht="12.75">
      <c r="B29" s="95" t="s">
        <v>363</v>
      </c>
      <c r="C29" s="95" t="s">
        <v>364</v>
      </c>
      <c r="D29" s="95"/>
      <c r="E29" s="96">
        <v>702</v>
      </c>
      <c r="F29" s="128">
        <v>702.4</v>
      </c>
      <c r="G29" s="96">
        <v>702.2</v>
      </c>
      <c r="I29" s="96"/>
    </row>
    <row r="30" spans="2:9" ht="12.75">
      <c r="B30" s="95"/>
      <c r="C30" s="95"/>
      <c r="D30" s="95"/>
      <c r="E30" s="96"/>
      <c r="F30" s="53"/>
      <c r="G30" s="96"/>
      <c r="I30" s="96"/>
    </row>
    <row r="31" spans="1:9" ht="12.75">
      <c r="A31" s="121"/>
      <c r="B31" s="121" t="s">
        <v>426</v>
      </c>
      <c r="C31" s="121" t="s">
        <v>427</v>
      </c>
      <c r="D31" s="121"/>
      <c r="E31" s="121"/>
      <c r="F31" s="121"/>
      <c r="G31" s="121"/>
      <c r="H31" s="97"/>
      <c r="I31" s="99"/>
    </row>
    <row r="32" spans="2:7" ht="12.75">
      <c r="B32" t="s">
        <v>365</v>
      </c>
      <c r="C32" t="s">
        <v>366</v>
      </c>
      <c r="E32" s="96">
        <v>25716</v>
      </c>
      <c r="F32" s="123">
        <v>23331</v>
      </c>
      <c r="G32" s="96">
        <v>22101</v>
      </c>
    </row>
    <row r="33" spans="2:7" ht="12.75">
      <c r="B33" t="s">
        <v>367</v>
      </c>
      <c r="C33" t="s">
        <v>368</v>
      </c>
      <c r="E33" s="96">
        <v>41425</v>
      </c>
      <c r="F33" s="123">
        <v>38380</v>
      </c>
      <c r="G33" s="96">
        <v>33332</v>
      </c>
    </row>
    <row r="34" spans="2:7" ht="12.75">
      <c r="B34" t="s">
        <v>369</v>
      </c>
      <c r="C34" t="s">
        <v>370</v>
      </c>
      <c r="E34" s="96">
        <v>28359</v>
      </c>
      <c r="F34" s="123">
        <v>33441</v>
      </c>
      <c r="G34" s="96">
        <v>33728</v>
      </c>
    </row>
    <row r="35" spans="2:7" ht="12.75">
      <c r="B35" t="s">
        <v>371</v>
      </c>
      <c r="C35" t="s">
        <v>372</v>
      </c>
      <c r="E35" s="96">
        <v>16983</v>
      </c>
      <c r="F35" s="123">
        <v>16710</v>
      </c>
      <c r="G35" s="96">
        <v>18744</v>
      </c>
    </row>
    <row r="36" spans="2:7" ht="12.75">
      <c r="B36" t="s">
        <v>373</v>
      </c>
      <c r="C36" t="s">
        <v>374</v>
      </c>
      <c r="E36" s="96">
        <v>9749</v>
      </c>
      <c r="F36" s="123">
        <v>9015</v>
      </c>
      <c r="G36" s="96">
        <v>8715</v>
      </c>
    </row>
    <row r="37" spans="2:7" ht="12.75">
      <c r="B37" t="s">
        <v>375</v>
      </c>
      <c r="C37" t="s">
        <v>376</v>
      </c>
      <c r="E37" s="96">
        <v>7234</v>
      </c>
      <c r="F37" s="123">
        <v>7695</v>
      </c>
      <c r="G37" s="96">
        <v>10029</v>
      </c>
    </row>
    <row r="38" spans="2:7" ht="12.75">
      <c r="B38" t="s">
        <v>377</v>
      </c>
      <c r="C38" t="s">
        <v>208</v>
      </c>
      <c r="E38" s="96">
        <v>1469.3599999999908</v>
      </c>
      <c r="F38" s="123">
        <v>1468</v>
      </c>
      <c r="G38" s="96">
        <v>1336</v>
      </c>
    </row>
    <row r="39" spans="2:7" ht="12.75">
      <c r="B39" t="s">
        <v>378</v>
      </c>
      <c r="C39" t="s">
        <v>379</v>
      </c>
      <c r="E39" s="96">
        <v>-3095</v>
      </c>
      <c r="F39" s="123">
        <v>-2881</v>
      </c>
      <c r="G39" s="96">
        <v>-3328</v>
      </c>
    </row>
    <row r="40" spans="2:7" ht="12.75">
      <c r="B40" s="95" t="s">
        <v>380</v>
      </c>
      <c r="C40" s="95" t="s">
        <v>381</v>
      </c>
      <c r="D40" s="95"/>
      <c r="E40" s="97">
        <f>SUM(E32:E39)-E36-E37</f>
        <v>110857.35999999999</v>
      </c>
      <c r="F40" s="125">
        <v>110449</v>
      </c>
      <c r="G40" s="97">
        <v>105913</v>
      </c>
    </row>
    <row r="41" spans="2:7" ht="12.75">
      <c r="B41" s="95"/>
      <c r="C41" s="95"/>
      <c r="D41" s="95"/>
      <c r="E41" s="97"/>
      <c r="F41" s="125"/>
      <c r="G41" s="97"/>
    </row>
    <row r="42" spans="1:7" ht="12.75">
      <c r="A42" t="s">
        <v>171</v>
      </c>
      <c r="B42" s="95" t="s">
        <v>384</v>
      </c>
      <c r="C42" s="95" t="s">
        <v>385</v>
      </c>
      <c r="D42" s="95"/>
      <c r="E42" s="232"/>
      <c r="F42" s="231"/>
      <c r="G42" s="232"/>
    </row>
    <row r="43" spans="2:7" ht="12.75" customHeight="1">
      <c r="B43" t="s">
        <v>365</v>
      </c>
      <c r="C43" t="s">
        <v>366</v>
      </c>
      <c r="E43" s="96">
        <v>3235</v>
      </c>
      <c r="F43" s="123">
        <v>2912</v>
      </c>
      <c r="G43" s="96">
        <v>2960</v>
      </c>
    </row>
    <row r="44" spans="2:7" ht="12.75">
      <c r="B44" t="s">
        <v>367</v>
      </c>
      <c r="C44" t="s">
        <v>368</v>
      </c>
      <c r="E44" s="96">
        <v>3946</v>
      </c>
      <c r="F44" s="123">
        <v>2375</v>
      </c>
      <c r="G44" s="96">
        <v>1724</v>
      </c>
    </row>
    <row r="45" spans="2:7" ht="12.75">
      <c r="B45" t="s">
        <v>369</v>
      </c>
      <c r="C45" t="s">
        <v>370</v>
      </c>
      <c r="E45" s="96">
        <v>413</v>
      </c>
      <c r="F45" s="123">
        <v>1493</v>
      </c>
      <c r="G45" s="96">
        <v>2651</v>
      </c>
    </row>
    <row r="46" spans="2:7" ht="12.75">
      <c r="B46" t="s">
        <v>371</v>
      </c>
      <c r="C46" t="s">
        <v>372</v>
      </c>
      <c r="E46" s="96">
        <v>2503</v>
      </c>
      <c r="F46" s="123">
        <v>2207</v>
      </c>
      <c r="G46" s="96">
        <v>2870</v>
      </c>
    </row>
    <row r="47" spans="2:7" ht="12.75">
      <c r="B47" t="s">
        <v>373</v>
      </c>
      <c r="C47" t="s">
        <v>374</v>
      </c>
      <c r="E47" s="96">
        <v>1253</v>
      </c>
      <c r="F47" s="123">
        <v>402</v>
      </c>
      <c r="G47" s="96">
        <v>536</v>
      </c>
    </row>
    <row r="48" spans="2:7" ht="12.75">
      <c r="B48" t="s">
        <v>375</v>
      </c>
      <c r="C48" t="s">
        <v>376</v>
      </c>
      <c r="E48" s="96">
        <v>1250</v>
      </c>
      <c r="F48" s="123">
        <v>1805</v>
      </c>
      <c r="G48" s="96">
        <v>2333</v>
      </c>
    </row>
    <row r="49" spans="2:7" ht="12.75">
      <c r="B49" t="s">
        <v>377</v>
      </c>
      <c r="C49" t="s">
        <v>208</v>
      </c>
      <c r="E49" s="96">
        <v>-449</v>
      </c>
      <c r="F49" s="123">
        <v>-433</v>
      </c>
      <c r="G49" s="96">
        <v>-58</v>
      </c>
    </row>
    <row r="50" spans="2:7" ht="12.75">
      <c r="B50" t="s">
        <v>378</v>
      </c>
      <c r="C50" t="s">
        <v>379</v>
      </c>
      <c r="E50" s="234"/>
      <c r="F50" s="233" t="s">
        <v>39</v>
      </c>
      <c r="G50" s="234" t="s">
        <v>39</v>
      </c>
    </row>
    <row r="51" spans="2:7" ht="12.75">
      <c r="B51" s="95" t="s">
        <v>380</v>
      </c>
      <c r="C51" s="95" t="s">
        <v>381</v>
      </c>
      <c r="D51" s="95"/>
      <c r="E51" s="97">
        <v>9648</v>
      </c>
      <c r="F51" s="125">
        <v>8554</v>
      </c>
      <c r="G51" s="97">
        <v>10147</v>
      </c>
    </row>
  </sheetData>
  <sheetProtection/>
  <printOptions/>
  <pageMargins left="0.75" right="0.75" top="1" bottom="1" header="0.5" footer="0.5"/>
  <pageSetup horizontalDpi="525" verticalDpi="525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21"/>
  <sheetViews>
    <sheetView showGridLines="0" tabSelected="1" zoomScalePageLayoutView="0" workbookViewId="0" topLeftCell="C1">
      <selection activeCell="D6" sqref="D6"/>
    </sheetView>
  </sheetViews>
  <sheetFormatPr defaultColWidth="8.8515625" defaultRowHeight="12.75"/>
  <cols>
    <col min="1" max="1" width="8.8515625" style="0" customWidth="1"/>
    <col min="2" max="2" width="52.421875" style="0" customWidth="1"/>
    <col min="3" max="3" width="46.7109375" style="0" bestFit="1" customWidth="1"/>
    <col min="4" max="4" width="13.28125" style="0" customWidth="1"/>
  </cols>
  <sheetData>
    <row r="1" spans="2:16" s="2" customFormat="1" ht="18">
      <c r="B1" s="29" t="s">
        <v>76</v>
      </c>
      <c r="C1" s="29" t="s">
        <v>258</v>
      </c>
      <c r="D1" s="29"/>
      <c r="E1" s="29"/>
      <c r="F1" s="29"/>
      <c r="G1" s="15"/>
      <c r="H1" s="29"/>
      <c r="I1" s="15"/>
      <c r="J1" s="15"/>
      <c r="K1" s="15"/>
      <c r="L1" s="15"/>
      <c r="M1" s="15"/>
      <c r="N1" s="15"/>
      <c r="O1" s="15"/>
      <c r="P1" s="15"/>
    </row>
    <row r="2" spans="7:25" s="2" customFormat="1" ht="12.75">
      <c r="G2" s="15"/>
      <c r="I2" s="15"/>
      <c r="J2" s="15"/>
      <c r="K2" s="15"/>
      <c r="L2" s="15"/>
      <c r="M2" s="15"/>
      <c r="N2" s="15"/>
      <c r="O2" s="15"/>
      <c r="P2" s="15"/>
      <c r="X2" s="23"/>
      <c r="Y2" s="23"/>
    </row>
    <row r="3" spans="2:20" ht="15">
      <c r="B3" s="19" t="s">
        <v>114</v>
      </c>
      <c r="C3" s="1" t="s">
        <v>182</v>
      </c>
      <c r="D3" s="58" t="s">
        <v>490</v>
      </c>
      <c r="E3" s="158" t="s">
        <v>472</v>
      </c>
      <c r="F3" s="58" t="s">
        <v>300</v>
      </c>
      <c r="G3" s="58" t="s">
        <v>173</v>
      </c>
      <c r="H3" s="58" t="s">
        <v>159</v>
      </c>
      <c r="I3" s="58" t="s">
        <v>149</v>
      </c>
      <c r="J3" s="58" t="s">
        <v>127</v>
      </c>
      <c r="K3" s="58" t="s">
        <v>119</v>
      </c>
      <c r="L3" s="58" t="s">
        <v>113</v>
      </c>
      <c r="M3" s="58" t="s">
        <v>107</v>
      </c>
      <c r="N3" s="1">
        <v>991231</v>
      </c>
      <c r="O3" s="19">
        <v>981231</v>
      </c>
      <c r="P3" s="1">
        <v>971231</v>
      </c>
      <c r="Q3" s="1">
        <v>961231</v>
      </c>
      <c r="R3" s="1">
        <v>951231</v>
      </c>
      <c r="S3" s="1">
        <v>941231</v>
      </c>
      <c r="T3" s="1">
        <v>931231</v>
      </c>
    </row>
    <row r="4" spans="2:20" ht="12.75">
      <c r="B4" s="21" t="s">
        <v>4</v>
      </c>
      <c r="C4" s="21" t="s">
        <v>183</v>
      </c>
      <c r="D4" s="63"/>
      <c r="E4" s="17"/>
      <c r="F4" s="11"/>
      <c r="G4" s="10"/>
      <c r="H4" s="11"/>
      <c r="I4" s="10"/>
      <c r="J4" s="11"/>
      <c r="K4" s="10"/>
      <c r="L4" s="11"/>
      <c r="M4" s="10"/>
      <c r="N4" s="11"/>
      <c r="O4" s="20"/>
      <c r="P4" s="11"/>
      <c r="Q4" s="10"/>
      <c r="R4" s="11"/>
      <c r="S4" s="9"/>
      <c r="T4" s="11"/>
    </row>
    <row r="5" spans="2:20" ht="12.75">
      <c r="B5" s="20" t="s">
        <v>5</v>
      </c>
      <c r="C5" s="20" t="s">
        <v>184</v>
      </c>
      <c r="D5" s="186">
        <v>113807</v>
      </c>
      <c r="E5" s="185">
        <v>116365</v>
      </c>
      <c r="F5" s="186">
        <v>107813</v>
      </c>
      <c r="G5" s="194">
        <v>99070</v>
      </c>
      <c r="H5" s="186">
        <v>103875</v>
      </c>
      <c r="I5" s="194">
        <v>96844</v>
      </c>
      <c r="J5" s="186">
        <f>14586+897+62402+658+241</f>
        <v>78784</v>
      </c>
      <c r="K5" s="194">
        <f>16093+757+58612+2355+318</f>
        <v>78135</v>
      </c>
      <c r="L5" s="186">
        <f>16149+701+56980+2349+788</f>
        <v>76967</v>
      </c>
      <c r="M5" s="194">
        <f>11218+1160+45793+1920+871</f>
        <v>60962</v>
      </c>
      <c r="N5" s="186">
        <v>61065</v>
      </c>
      <c r="O5" s="195">
        <v>55147</v>
      </c>
      <c r="P5" s="186">
        <v>50351</v>
      </c>
      <c r="Q5" s="194">
        <v>48599</v>
      </c>
      <c r="R5" s="186">
        <v>46822</v>
      </c>
      <c r="S5" s="196">
        <v>31336</v>
      </c>
      <c r="T5" s="186">
        <v>30983</v>
      </c>
    </row>
    <row r="6" spans="2:20" ht="12.75">
      <c r="B6" s="20" t="s">
        <v>6</v>
      </c>
      <c r="C6" s="20" t="s">
        <v>185</v>
      </c>
      <c r="D6" s="186">
        <v>30605</v>
      </c>
      <c r="E6" s="185">
        <v>36121</v>
      </c>
      <c r="F6" s="186">
        <v>33793</v>
      </c>
      <c r="G6" s="194">
        <v>29907</v>
      </c>
      <c r="H6" s="186">
        <v>29356</v>
      </c>
      <c r="I6" s="194">
        <v>25681</v>
      </c>
      <c r="J6" s="186">
        <v>22880</v>
      </c>
      <c r="K6" s="194">
        <v>24765</v>
      </c>
      <c r="L6" s="186">
        <v>23338</v>
      </c>
      <c r="M6" s="194">
        <v>21765</v>
      </c>
      <c r="N6" s="186">
        <v>18311</v>
      </c>
      <c r="O6" s="195">
        <v>18790</v>
      </c>
      <c r="P6" s="186">
        <v>16726</v>
      </c>
      <c r="Q6" s="194">
        <v>15461</v>
      </c>
      <c r="R6" s="186">
        <v>16435</v>
      </c>
      <c r="S6" s="196">
        <v>10606</v>
      </c>
      <c r="T6" s="186">
        <v>10409</v>
      </c>
    </row>
    <row r="7" spans="2:20" ht="12.75">
      <c r="B7" s="50" t="s">
        <v>7</v>
      </c>
      <c r="C7" s="81" t="s">
        <v>186</v>
      </c>
      <c r="D7" s="186">
        <v>194</v>
      </c>
      <c r="E7" s="185">
        <v>642</v>
      </c>
      <c r="F7" s="186">
        <v>366</v>
      </c>
      <c r="G7" s="194">
        <v>2968</v>
      </c>
      <c r="H7" s="186">
        <f>237+68</f>
        <v>305</v>
      </c>
      <c r="I7" s="194">
        <v>128</v>
      </c>
      <c r="J7" s="186">
        <f>3247+749</f>
        <v>3996</v>
      </c>
      <c r="K7" s="194">
        <f>3478+295</f>
        <v>3773</v>
      </c>
      <c r="L7" s="186">
        <f>3888+406</f>
        <v>4294</v>
      </c>
      <c r="M7" s="194">
        <f>3497+502</f>
        <v>3999</v>
      </c>
      <c r="N7" s="186">
        <v>4208</v>
      </c>
      <c r="O7" s="195">
        <v>2617</v>
      </c>
      <c r="P7" s="186">
        <v>2046</v>
      </c>
      <c r="Q7" s="194">
        <v>2541</v>
      </c>
      <c r="R7" s="186">
        <v>2820</v>
      </c>
      <c r="S7" s="196">
        <v>2004</v>
      </c>
      <c r="T7" s="186">
        <v>1471</v>
      </c>
    </row>
    <row r="8" spans="2:20" ht="12.75">
      <c r="B8" s="23" t="s">
        <v>158</v>
      </c>
      <c r="C8" s="23" t="s">
        <v>198</v>
      </c>
      <c r="D8" s="186">
        <v>105</v>
      </c>
      <c r="E8" s="185">
        <v>102</v>
      </c>
      <c r="F8" s="186">
        <v>55</v>
      </c>
      <c r="G8" s="194"/>
      <c r="H8" s="186"/>
      <c r="I8" s="194"/>
      <c r="J8" s="186"/>
      <c r="K8" s="194"/>
      <c r="L8" s="186"/>
      <c r="M8" s="194"/>
      <c r="N8" s="186"/>
      <c r="O8" s="195"/>
      <c r="P8" s="186"/>
      <c r="Q8" s="194"/>
      <c r="R8" s="186"/>
      <c r="S8" s="196"/>
      <c r="T8" s="186"/>
    </row>
    <row r="9" spans="2:20" ht="12.75">
      <c r="B9" s="50" t="s">
        <v>8</v>
      </c>
      <c r="C9" s="81" t="s">
        <v>187</v>
      </c>
      <c r="D9" s="186">
        <v>5148</v>
      </c>
      <c r="E9" s="185">
        <v>5738</v>
      </c>
      <c r="F9" s="186">
        <v>3023</v>
      </c>
      <c r="G9" s="194">
        <v>1599</v>
      </c>
      <c r="H9" s="186">
        <v>1684</v>
      </c>
      <c r="I9" s="194">
        <v>3498</v>
      </c>
      <c r="J9" s="186">
        <v>1696</v>
      </c>
      <c r="K9" s="194">
        <v>2531</v>
      </c>
      <c r="L9" s="186">
        <v>2189</v>
      </c>
      <c r="M9" s="194">
        <v>1440</v>
      </c>
      <c r="N9" s="186">
        <v>1630</v>
      </c>
      <c r="O9" s="195">
        <v>1819</v>
      </c>
      <c r="P9" s="186">
        <v>1582</v>
      </c>
      <c r="Q9" s="194">
        <v>1393</v>
      </c>
      <c r="R9" s="186">
        <v>2053</v>
      </c>
      <c r="S9" s="196">
        <v>982</v>
      </c>
      <c r="T9" s="186">
        <v>1388</v>
      </c>
    </row>
    <row r="10" spans="1:20" ht="12.75">
      <c r="A10" t="s">
        <v>171</v>
      </c>
      <c r="B10" s="21" t="s">
        <v>9</v>
      </c>
      <c r="C10" s="21" t="s">
        <v>188</v>
      </c>
      <c r="D10" s="172">
        <f aca="true" t="shared" si="0" ref="D10:T10">SUM(D5:D9)</f>
        <v>149859</v>
      </c>
      <c r="E10" s="173">
        <f t="shared" si="0"/>
        <v>158968</v>
      </c>
      <c r="F10" s="172">
        <f t="shared" si="0"/>
        <v>145050</v>
      </c>
      <c r="G10" s="193">
        <f t="shared" si="0"/>
        <v>133544</v>
      </c>
      <c r="H10" s="172">
        <f t="shared" si="0"/>
        <v>135220</v>
      </c>
      <c r="I10" s="193">
        <f t="shared" si="0"/>
        <v>126151</v>
      </c>
      <c r="J10" s="172">
        <f t="shared" si="0"/>
        <v>107356</v>
      </c>
      <c r="K10" s="193">
        <f t="shared" si="0"/>
        <v>109204</v>
      </c>
      <c r="L10" s="172">
        <f t="shared" si="0"/>
        <v>106788</v>
      </c>
      <c r="M10" s="193">
        <f t="shared" si="0"/>
        <v>88166</v>
      </c>
      <c r="N10" s="172">
        <f t="shared" si="0"/>
        <v>85214</v>
      </c>
      <c r="O10" s="173">
        <f t="shared" si="0"/>
        <v>78373</v>
      </c>
      <c r="P10" s="172">
        <f t="shared" si="0"/>
        <v>70705</v>
      </c>
      <c r="Q10" s="193">
        <f t="shared" si="0"/>
        <v>67994</v>
      </c>
      <c r="R10" s="172">
        <f t="shared" si="0"/>
        <v>68130</v>
      </c>
      <c r="S10" s="197">
        <f t="shared" si="0"/>
        <v>44928</v>
      </c>
      <c r="T10" s="172">
        <f t="shared" si="0"/>
        <v>44251</v>
      </c>
    </row>
    <row r="11" spans="2:20" ht="12.75">
      <c r="B11" s="20"/>
      <c r="C11" s="20"/>
      <c r="D11" s="228"/>
      <c r="E11" s="75"/>
      <c r="F11" s="171"/>
      <c r="G11" s="168"/>
      <c r="H11" s="171"/>
      <c r="I11" s="168"/>
      <c r="J11" s="171"/>
      <c r="K11" s="168"/>
      <c r="L11" s="171"/>
      <c r="M11" s="168"/>
      <c r="N11" s="171"/>
      <c r="O11" s="195"/>
      <c r="P11" s="171"/>
      <c r="Q11" s="168"/>
      <c r="R11" s="171"/>
      <c r="S11" s="160"/>
      <c r="T11" s="171"/>
    </row>
    <row r="12" spans="2:20" ht="12.75">
      <c r="B12" s="21" t="s">
        <v>10</v>
      </c>
      <c r="C12" s="21" t="s">
        <v>189</v>
      </c>
      <c r="D12" s="63"/>
      <c r="E12" s="185"/>
      <c r="F12" s="186"/>
      <c r="G12" s="194"/>
      <c r="H12" s="186"/>
      <c r="I12" s="194"/>
      <c r="J12" s="186"/>
      <c r="K12" s="194"/>
      <c r="L12" s="186"/>
      <c r="M12" s="194"/>
      <c r="N12" s="186"/>
      <c r="O12" s="195"/>
      <c r="P12" s="186"/>
      <c r="Q12" s="194"/>
      <c r="R12" s="186"/>
      <c r="S12" s="196"/>
      <c r="T12" s="186"/>
    </row>
    <row r="13" spans="1:20" ht="12.75">
      <c r="A13" t="s">
        <v>171</v>
      </c>
      <c r="B13" s="20" t="s">
        <v>11</v>
      </c>
      <c r="C13" s="20" t="s">
        <v>190</v>
      </c>
      <c r="D13" s="186">
        <v>67156</v>
      </c>
      <c r="E13" s="185">
        <v>66450</v>
      </c>
      <c r="F13" s="186">
        <v>63590</v>
      </c>
      <c r="G13" s="194">
        <v>58299</v>
      </c>
      <c r="H13" s="186">
        <v>56343</v>
      </c>
      <c r="I13" s="194">
        <v>54350</v>
      </c>
      <c r="J13" s="186">
        <v>49754</v>
      </c>
      <c r="K13" s="194">
        <v>47983</v>
      </c>
      <c r="L13" s="186">
        <v>45983</v>
      </c>
      <c r="M13" s="194">
        <v>39898</v>
      </c>
      <c r="N13" s="186">
        <v>34133</v>
      </c>
      <c r="O13" s="195">
        <v>28404</v>
      </c>
      <c r="P13" s="186">
        <v>24653</v>
      </c>
      <c r="Q13" s="194">
        <v>22906</v>
      </c>
      <c r="R13" s="186">
        <v>22024</v>
      </c>
      <c r="S13" s="196">
        <v>19590</v>
      </c>
      <c r="T13" s="186">
        <v>19963</v>
      </c>
    </row>
    <row r="14" spans="2:20" ht="12.75">
      <c r="B14" s="20" t="s">
        <v>3</v>
      </c>
      <c r="C14" s="20" t="s">
        <v>191</v>
      </c>
      <c r="D14" s="186">
        <v>750</v>
      </c>
      <c r="E14" s="185">
        <v>802</v>
      </c>
      <c r="F14" s="186">
        <v>689</v>
      </c>
      <c r="G14" s="194">
        <v>664</v>
      </c>
      <c r="H14" s="186">
        <v>767</v>
      </c>
      <c r="I14" s="194">
        <v>768</v>
      </c>
      <c r="J14" s="186">
        <v>751</v>
      </c>
      <c r="K14" s="194">
        <v>687</v>
      </c>
      <c r="L14" s="186">
        <v>736</v>
      </c>
      <c r="M14" s="194">
        <v>612</v>
      </c>
      <c r="N14" s="186">
        <v>587</v>
      </c>
      <c r="O14" s="195">
        <v>1386</v>
      </c>
      <c r="P14" s="186">
        <v>1496</v>
      </c>
      <c r="Q14" s="194">
        <v>3331</v>
      </c>
      <c r="R14" s="186">
        <v>3493</v>
      </c>
      <c r="S14" s="196">
        <v>853</v>
      </c>
      <c r="T14" s="186">
        <v>916</v>
      </c>
    </row>
    <row r="15" spans="2:20" ht="12.75">
      <c r="B15" s="20" t="s">
        <v>12</v>
      </c>
      <c r="C15" s="20" t="s">
        <v>192</v>
      </c>
      <c r="D15" s="186">
        <v>13351</v>
      </c>
      <c r="E15" s="185">
        <f>3443+9849</f>
        <v>13292</v>
      </c>
      <c r="F15" s="186">
        <f>1987+12212</f>
        <v>14199</v>
      </c>
      <c r="G15" s="194">
        <f>2793+11447</f>
        <v>14240</v>
      </c>
      <c r="H15" s="186">
        <f>12225+4810</f>
        <v>17035</v>
      </c>
      <c r="I15" s="194">
        <f>12574+4388</f>
        <v>16962</v>
      </c>
      <c r="J15" s="186">
        <f>2569+11051</f>
        <v>13620</v>
      </c>
      <c r="K15" s="194">
        <f>2596+12215</f>
        <v>14811</v>
      </c>
      <c r="L15" s="186">
        <f>2598+12272</f>
        <v>14870</v>
      </c>
      <c r="M15" s="194">
        <f>2624+10618</f>
        <v>13242</v>
      </c>
      <c r="N15" s="186">
        <v>8632</v>
      </c>
      <c r="O15" s="195">
        <v>10906</v>
      </c>
      <c r="P15" s="186">
        <v>10452</v>
      </c>
      <c r="Q15" s="194">
        <v>9441</v>
      </c>
      <c r="R15" s="186"/>
      <c r="S15" s="196"/>
      <c r="T15" s="186"/>
    </row>
    <row r="16" spans="2:20" ht="12.75">
      <c r="B16" s="93" t="s">
        <v>301</v>
      </c>
      <c r="C16" s="23" t="s">
        <v>302</v>
      </c>
      <c r="D16" s="228"/>
      <c r="E16" s="185">
        <v>0</v>
      </c>
      <c r="F16" s="186">
        <v>0</v>
      </c>
      <c r="G16" s="185">
        <v>55</v>
      </c>
      <c r="H16" s="186"/>
      <c r="I16" s="194"/>
      <c r="J16" s="186"/>
      <c r="K16" s="194"/>
      <c r="L16" s="186"/>
      <c r="M16" s="194"/>
      <c r="N16" s="186"/>
      <c r="O16" s="195"/>
      <c r="P16" s="186"/>
      <c r="Q16" s="194"/>
      <c r="R16" s="186"/>
      <c r="S16" s="196"/>
      <c r="T16" s="186"/>
    </row>
    <row r="17" spans="2:20" ht="12.75">
      <c r="B17" s="20" t="s">
        <v>13</v>
      </c>
      <c r="C17" s="20" t="s">
        <v>193</v>
      </c>
      <c r="D17" s="186">
        <v>44766</v>
      </c>
      <c r="E17" s="185">
        <f>38859+857+13170</f>
        <v>52886</v>
      </c>
      <c r="F17" s="186">
        <f>20247+133+21943</f>
        <v>42323</v>
      </c>
      <c r="G17" s="194">
        <f>16852+157+21537</f>
        <v>38546</v>
      </c>
      <c r="H17" s="186">
        <f>18638+208+20190</f>
        <v>39036</v>
      </c>
      <c r="I17" s="194">
        <f>19155+91+15775</f>
        <v>35021</v>
      </c>
      <c r="J17" s="186">
        <f>15500+9766</f>
        <v>25266</v>
      </c>
      <c r="K17" s="194">
        <v>27498</v>
      </c>
      <c r="L17" s="186">
        <v>27746</v>
      </c>
      <c r="M17" s="194">
        <v>18694</v>
      </c>
      <c r="N17" s="186">
        <v>28881</v>
      </c>
      <c r="O17" s="195">
        <v>25806</v>
      </c>
      <c r="P17" s="186">
        <v>22647</v>
      </c>
      <c r="Q17" s="194">
        <v>21396</v>
      </c>
      <c r="R17" s="186">
        <v>22439</v>
      </c>
      <c r="S17" s="196">
        <v>13559</v>
      </c>
      <c r="T17" s="186">
        <v>13673</v>
      </c>
    </row>
    <row r="18" spans="2:20" ht="12.75">
      <c r="B18" s="23" t="s">
        <v>35</v>
      </c>
      <c r="C18" s="81" t="s">
        <v>194</v>
      </c>
      <c r="D18" s="186">
        <v>23836</v>
      </c>
      <c r="E18" s="185">
        <v>25538</v>
      </c>
      <c r="F18" s="186">
        <f>13526+597+1165+8961</f>
        <v>24249</v>
      </c>
      <c r="G18" s="194">
        <f>12332+800+1153+7455</f>
        <v>21740</v>
      </c>
      <c r="H18" s="186">
        <v>22039</v>
      </c>
      <c r="I18" s="194">
        <v>19050</v>
      </c>
      <c r="J18" s="186">
        <f>163+17802</f>
        <v>17965</v>
      </c>
      <c r="K18" s="194">
        <v>18225</v>
      </c>
      <c r="L18" s="186">
        <v>17453</v>
      </c>
      <c r="M18" s="194">
        <v>15720</v>
      </c>
      <c r="N18" s="186">
        <v>12981</v>
      </c>
      <c r="O18" s="195">
        <v>11871</v>
      </c>
      <c r="P18" s="186">
        <v>11457</v>
      </c>
      <c r="Q18" s="194">
        <v>10920</v>
      </c>
      <c r="R18" s="186">
        <v>20174</v>
      </c>
      <c r="S18" s="196">
        <v>10926</v>
      </c>
      <c r="T18" s="186">
        <v>9699</v>
      </c>
    </row>
    <row r="19" spans="1:20" ht="12.75">
      <c r="A19" t="s">
        <v>171</v>
      </c>
      <c r="B19" s="21" t="s">
        <v>96</v>
      </c>
      <c r="C19" s="21" t="s">
        <v>195</v>
      </c>
      <c r="D19" s="172">
        <f aca="true" t="shared" si="1" ref="D19:T19">SUM(D13:D18)</f>
        <v>149859</v>
      </c>
      <c r="E19" s="173">
        <f t="shared" si="1"/>
        <v>158968</v>
      </c>
      <c r="F19" s="172">
        <f t="shared" si="1"/>
        <v>145050</v>
      </c>
      <c r="G19" s="193">
        <f t="shared" si="1"/>
        <v>133544</v>
      </c>
      <c r="H19" s="172">
        <f t="shared" si="1"/>
        <v>135220</v>
      </c>
      <c r="I19" s="193">
        <f t="shared" si="1"/>
        <v>126151</v>
      </c>
      <c r="J19" s="172">
        <f t="shared" si="1"/>
        <v>107356</v>
      </c>
      <c r="K19" s="193">
        <f t="shared" si="1"/>
        <v>109204</v>
      </c>
      <c r="L19" s="172">
        <f t="shared" si="1"/>
        <v>106788</v>
      </c>
      <c r="M19" s="193">
        <f t="shared" si="1"/>
        <v>88166</v>
      </c>
      <c r="N19" s="172">
        <f t="shared" si="1"/>
        <v>85214</v>
      </c>
      <c r="O19" s="173">
        <f t="shared" si="1"/>
        <v>78373</v>
      </c>
      <c r="P19" s="172">
        <f t="shared" si="1"/>
        <v>70705</v>
      </c>
      <c r="Q19" s="193">
        <f t="shared" si="1"/>
        <v>67994</v>
      </c>
      <c r="R19" s="172">
        <f t="shared" si="1"/>
        <v>68130</v>
      </c>
      <c r="S19" s="197">
        <f t="shared" si="1"/>
        <v>44928</v>
      </c>
      <c r="T19" s="172">
        <f t="shared" si="1"/>
        <v>44251</v>
      </c>
    </row>
    <row r="21" spans="2:4" ht="12.75">
      <c r="B21" s="62" t="s">
        <v>115</v>
      </c>
      <c r="C21" s="82" t="s">
        <v>196</v>
      </c>
      <c r="D21" s="8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BS22"/>
  <sheetViews>
    <sheetView showGridLines="0" zoomScalePageLayoutView="0" workbookViewId="0" topLeftCell="C1">
      <selection activeCell="G26" sqref="G26"/>
    </sheetView>
  </sheetViews>
  <sheetFormatPr defaultColWidth="8.8515625" defaultRowHeight="12.75"/>
  <cols>
    <col min="1" max="1" width="8.8515625" style="0" customWidth="1"/>
    <col min="2" max="3" width="52.421875" style="0" customWidth="1"/>
    <col min="4" max="4" width="12.00390625" style="0" customWidth="1"/>
    <col min="5" max="6" width="10.140625" style="0" customWidth="1"/>
  </cols>
  <sheetData>
    <row r="1" spans="2:26" s="2" customFormat="1" ht="18">
      <c r="B1" s="29" t="s">
        <v>76</v>
      </c>
      <c r="C1" s="29" t="s">
        <v>258</v>
      </c>
      <c r="D1" s="29"/>
      <c r="E1" s="29"/>
      <c r="F1" s="29"/>
      <c r="G1" s="15"/>
      <c r="H1" s="15"/>
      <c r="I1" s="15"/>
      <c r="J1" s="15"/>
      <c r="K1" s="15"/>
      <c r="L1" s="15"/>
      <c r="M1" s="15"/>
      <c r="N1" s="15"/>
      <c r="O1" s="15"/>
      <c r="P1" s="29"/>
      <c r="Q1" s="15"/>
      <c r="R1" s="29"/>
      <c r="S1" s="15"/>
      <c r="T1" s="15"/>
      <c r="U1" s="15"/>
      <c r="V1" s="15"/>
      <c r="W1" s="15"/>
      <c r="X1" s="15"/>
      <c r="Y1" s="15"/>
      <c r="Z1" s="15"/>
    </row>
    <row r="2" spans="7:35" s="2" customFormat="1" ht="12.75">
      <c r="G2" s="15"/>
      <c r="H2" s="15"/>
      <c r="I2" s="15"/>
      <c r="J2" s="15"/>
      <c r="K2" s="15"/>
      <c r="L2" s="15"/>
      <c r="M2" s="15"/>
      <c r="N2" s="15"/>
      <c r="O2" s="15"/>
      <c r="Q2" s="15"/>
      <c r="S2" s="15"/>
      <c r="T2" s="15"/>
      <c r="U2" s="15"/>
      <c r="V2" s="15"/>
      <c r="W2" s="15"/>
      <c r="X2" s="15"/>
      <c r="Y2" s="15"/>
      <c r="Z2" s="15"/>
      <c r="AH2" s="23"/>
      <c r="AI2" s="23"/>
    </row>
    <row r="3" spans="2:71" ht="15">
      <c r="B3" s="1" t="s">
        <v>114</v>
      </c>
      <c r="C3" s="1" t="s">
        <v>182</v>
      </c>
      <c r="D3" s="158" t="s">
        <v>489</v>
      </c>
      <c r="E3" s="158" t="s">
        <v>485</v>
      </c>
      <c r="F3" s="158" t="s">
        <v>486</v>
      </c>
      <c r="G3" s="158" t="s">
        <v>471</v>
      </c>
      <c r="H3" s="158" t="s">
        <v>472</v>
      </c>
      <c r="I3" s="58" t="s">
        <v>473</v>
      </c>
      <c r="J3" s="58" t="s">
        <v>304</v>
      </c>
      <c r="K3" s="58" t="s">
        <v>303</v>
      </c>
      <c r="L3" s="58" t="s">
        <v>300</v>
      </c>
      <c r="M3" s="58" t="s">
        <v>176</v>
      </c>
      <c r="N3" s="58" t="s">
        <v>175</v>
      </c>
      <c r="O3" s="58" t="s">
        <v>174</v>
      </c>
      <c r="P3" s="58" t="s">
        <v>173</v>
      </c>
      <c r="Q3" s="58" t="s">
        <v>172</v>
      </c>
      <c r="R3" s="65" t="s">
        <v>162</v>
      </c>
      <c r="S3" s="65" t="s">
        <v>161</v>
      </c>
      <c r="T3" s="65" t="s">
        <v>159</v>
      </c>
      <c r="U3" s="65" t="s">
        <v>157</v>
      </c>
      <c r="V3" s="65" t="s">
        <v>156</v>
      </c>
      <c r="W3" s="65" t="s">
        <v>150</v>
      </c>
      <c r="X3" s="57" t="s">
        <v>149</v>
      </c>
      <c r="Y3" s="60" t="s">
        <v>147</v>
      </c>
      <c r="Z3" s="57" t="s">
        <v>146</v>
      </c>
      <c r="AA3" s="60" t="s">
        <v>145</v>
      </c>
      <c r="AB3" s="57" t="s">
        <v>127</v>
      </c>
      <c r="AC3" s="60" t="s">
        <v>126</v>
      </c>
      <c r="AD3" s="57" t="s">
        <v>125</v>
      </c>
      <c r="AE3" s="60" t="s">
        <v>123</v>
      </c>
      <c r="AF3" s="60" t="s">
        <v>119</v>
      </c>
      <c r="AG3" s="60" t="s">
        <v>118</v>
      </c>
      <c r="AH3" s="60" t="s">
        <v>117</v>
      </c>
      <c r="AI3" s="60" t="s">
        <v>116</v>
      </c>
      <c r="AJ3" s="60" t="s">
        <v>113</v>
      </c>
      <c r="AK3" s="60" t="s">
        <v>111</v>
      </c>
      <c r="AL3" s="59" t="s">
        <v>110</v>
      </c>
      <c r="AM3" s="59" t="s">
        <v>109</v>
      </c>
      <c r="AN3" s="59" t="s">
        <v>107</v>
      </c>
      <c r="AO3" s="56" t="s">
        <v>104</v>
      </c>
      <c r="AP3" s="56" t="s">
        <v>103</v>
      </c>
      <c r="AQ3" s="56" t="s">
        <v>102</v>
      </c>
      <c r="AR3" s="1">
        <v>991231</v>
      </c>
      <c r="AS3" s="1">
        <v>990930</v>
      </c>
      <c r="AT3" s="1">
        <v>990630</v>
      </c>
      <c r="AU3" s="1">
        <v>990331</v>
      </c>
      <c r="AV3" s="1">
        <v>981231</v>
      </c>
      <c r="AW3" s="1">
        <v>980930</v>
      </c>
      <c r="AX3" s="13">
        <v>980630</v>
      </c>
      <c r="AY3" s="13">
        <v>980331</v>
      </c>
      <c r="AZ3" s="13">
        <v>971231</v>
      </c>
      <c r="BA3" s="13">
        <v>970930</v>
      </c>
      <c r="BB3" s="1">
        <v>970630</v>
      </c>
      <c r="BC3" s="1">
        <v>970331</v>
      </c>
      <c r="BD3" s="1">
        <v>961231</v>
      </c>
      <c r="BE3" s="1">
        <v>960930</v>
      </c>
      <c r="BF3" s="1">
        <v>960630</v>
      </c>
      <c r="BG3" s="1">
        <v>960331</v>
      </c>
      <c r="BH3" s="1">
        <v>951231</v>
      </c>
      <c r="BI3" s="1">
        <v>950930</v>
      </c>
      <c r="BJ3" s="1">
        <v>950630</v>
      </c>
      <c r="BK3" s="1">
        <v>950331</v>
      </c>
      <c r="BL3" s="1">
        <v>941231</v>
      </c>
      <c r="BM3" s="1">
        <v>940930</v>
      </c>
      <c r="BN3" s="1">
        <v>940630</v>
      </c>
      <c r="BO3" s="1">
        <v>940331</v>
      </c>
      <c r="BP3" s="1">
        <v>931231</v>
      </c>
      <c r="BQ3" s="1">
        <v>930930</v>
      </c>
      <c r="BR3" s="1">
        <v>930630</v>
      </c>
      <c r="BS3" s="1">
        <v>930331</v>
      </c>
    </row>
    <row r="4" spans="2:71" ht="12.75">
      <c r="B4" s="32" t="s">
        <v>4</v>
      </c>
      <c r="C4" s="32" t="s">
        <v>183</v>
      </c>
      <c r="D4" s="32"/>
      <c r="E4" s="63"/>
      <c r="F4" s="32"/>
      <c r="G4" s="63"/>
      <c r="H4" s="32"/>
      <c r="I4" s="63"/>
      <c r="J4" s="32"/>
      <c r="K4" s="63"/>
      <c r="L4" s="32"/>
      <c r="M4" s="63"/>
      <c r="N4" s="32"/>
      <c r="O4" s="63"/>
      <c r="P4" s="32"/>
      <c r="Q4" s="63"/>
      <c r="R4" s="32"/>
      <c r="S4" s="63"/>
      <c r="T4" s="32"/>
      <c r="U4" s="63"/>
      <c r="V4" s="32"/>
      <c r="W4" s="64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2"/>
      <c r="AO4" s="3"/>
      <c r="AP4" s="2"/>
      <c r="AQ4" s="3"/>
      <c r="AR4" s="2"/>
      <c r="AS4" s="3"/>
      <c r="AT4" s="2"/>
      <c r="AU4" s="3"/>
      <c r="AV4" s="2"/>
      <c r="AW4" s="3"/>
      <c r="AX4" s="2"/>
      <c r="AY4" s="3"/>
      <c r="AZ4" s="2"/>
      <c r="BA4" s="3"/>
      <c r="BB4" s="17"/>
      <c r="BC4" s="3"/>
      <c r="BD4" s="17"/>
      <c r="BE4" s="11"/>
      <c r="BF4" s="17"/>
      <c r="BG4" s="11"/>
      <c r="BH4" s="17"/>
      <c r="BI4" s="11"/>
      <c r="BJ4" s="17"/>
      <c r="BK4" s="11"/>
      <c r="BL4" s="17"/>
      <c r="BM4" s="11"/>
      <c r="BN4" s="17"/>
      <c r="BO4" s="11"/>
      <c r="BP4" s="17"/>
      <c r="BQ4" s="11"/>
      <c r="BR4" s="17"/>
      <c r="BS4" s="11"/>
    </row>
    <row r="5" spans="2:71" ht="12.75">
      <c r="B5" s="23" t="s">
        <v>5</v>
      </c>
      <c r="C5" s="23" t="s">
        <v>184</v>
      </c>
      <c r="D5" s="185">
        <v>113807</v>
      </c>
      <c r="E5" s="163">
        <v>111552</v>
      </c>
      <c r="F5" s="105">
        <v>116659</v>
      </c>
      <c r="G5" s="163">
        <v>117743</v>
      </c>
      <c r="H5" s="105">
        <v>116365</v>
      </c>
      <c r="I5" s="163">
        <v>110553</v>
      </c>
      <c r="J5" s="105">
        <v>106052</v>
      </c>
      <c r="K5" s="163">
        <v>106416</v>
      </c>
      <c r="L5" s="105">
        <v>107813</v>
      </c>
      <c r="M5" s="163">
        <v>100714</v>
      </c>
      <c r="N5" s="105">
        <v>102303</v>
      </c>
      <c r="O5" s="163">
        <v>101199</v>
      </c>
      <c r="P5" s="75">
        <v>98964</v>
      </c>
      <c r="Q5" s="163">
        <v>101128</v>
      </c>
      <c r="R5" s="75">
        <v>100051</v>
      </c>
      <c r="S5" s="163">
        <v>103154</v>
      </c>
      <c r="T5" s="75">
        <v>103875</v>
      </c>
      <c r="U5" s="163">
        <v>101124</v>
      </c>
      <c r="V5" s="75">
        <v>104211</v>
      </c>
      <c r="W5" s="163">
        <v>99300</v>
      </c>
      <c r="X5" s="75">
        <v>96844</v>
      </c>
      <c r="Y5" s="67">
        <f>16433+1909+65762+722+424</f>
        <v>85250</v>
      </c>
      <c r="Z5" s="67">
        <f>17298+1520+67019+644+281</f>
        <v>86762</v>
      </c>
      <c r="AA5" s="67">
        <f>15200+1133+63829+687+205</f>
        <v>81054</v>
      </c>
      <c r="AB5" s="2">
        <f>14586+897+62402+658+241</f>
        <v>78784</v>
      </c>
      <c r="AC5" s="3">
        <f>14081+859+57297+1623+530</f>
        <v>74390</v>
      </c>
      <c r="AD5" s="2">
        <f>14753+879+58119+1632+450</f>
        <v>75833</v>
      </c>
      <c r="AE5" s="3">
        <f>15335+768+58525+1717+420</f>
        <v>76765</v>
      </c>
      <c r="AF5" s="2">
        <f>16093+757+58612+2355+318</f>
        <v>78135</v>
      </c>
      <c r="AG5" s="3">
        <f>16754+722+57492+2217+784</f>
        <v>77969</v>
      </c>
      <c r="AH5" s="2">
        <f>15998+672+56513+2270+803</f>
        <v>76256</v>
      </c>
      <c r="AI5" s="3">
        <f>17626+609+56804+2323+803</f>
        <v>78165</v>
      </c>
      <c r="AJ5" s="2">
        <f>16149+701+56980+2349+788</f>
        <v>76967</v>
      </c>
      <c r="AK5" s="3">
        <f>16073+628+56225+2185+294</f>
        <v>75405</v>
      </c>
      <c r="AL5" s="2">
        <f>15743+577+54705+2104+377</f>
        <v>73506</v>
      </c>
      <c r="AM5" s="3">
        <f>14674+902+54264+1969+485</f>
        <v>72294</v>
      </c>
      <c r="AN5" s="2">
        <f>11218+1160+45793+1920+871</f>
        <v>60962</v>
      </c>
      <c r="AO5" s="3">
        <v>58716</v>
      </c>
      <c r="AP5" s="2">
        <v>59956</v>
      </c>
      <c r="AQ5" s="3">
        <v>60223</v>
      </c>
      <c r="AR5" s="2">
        <v>61065</v>
      </c>
      <c r="AS5" s="3">
        <v>60899</v>
      </c>
      <c r="AT5" s="2">
        <v>56546</v>
      </c>
      <c r="AU5" s="3">
        <v>56555</v>
      </c>
      <c r="AV5" s="2">
        <v>55147</v>
      </c>
      <c r="AW5" s="3">
        <v>52134</v>
      </c>
      <c r="AX5" s="2">
        <v>50351</v>
      </c>
      <c r="AY5" s="3">
        <v>49821</v>
      </c>
      <c r="AZ5" s="2">
        <v>50351</v>
      </c>
      <c r="BA5" s="3">
        <v>48730</v>
      </c>
      <c r="BB5" s="17">
        <v>50278</v>
      </c>
      <c r="BC5" s="11">
        <v>49532</v>
      </c>
      <c r="BD5" s="17">
        <v>48599</v>
      </c>
      <c r="BE5" s="11">
        <v>46738</v>
      </c>
      <c r="BF5" s="17">
        <v>46426</v>
      </c>
      <c r="BG5" s="11">
        <v>47126</v>
      </c>
      <c r="BH5" s="17">
        <v>46822</v>
      </c>
      <c r="BI5" s="11">
        <v>49487</v>
      </c>
      <c r="BJ5" s="17">
        <v>51381</v>
      </c>
      <c r="BK5" s="11">
        <v>51761</v>
      </c>
      <c r="BL5" s="17">
        <v>31336</v>
      </c>
      <c r="BM5" s="11">
        <v>31430</v>
      </c>
      <c r="BN5" s="17">
        <v>30714</v>
      </c>
      <c r="BO5" s="11">
        <v>30266</v>
      </c>
      <c r="BP5" s="17">
        <v>30983</v>
      </c>
      <c r="BQ5" s="11">
        <v>31442</v>
      </c>
      <c r="BR5" s="17">
        <v>30913</v>
      </c>
      <c r="BS5" s="11">
        <v>31323</v>
      </c>
    </row>
    <row r="6" spans="2:71" ht="12.75">
      <c r="B6" s="23" t="s">
        <v>6</v>
      </c>
      <c r="C6" s="23" t="s">
        <v>185</v>
      </c>
      <c r="D6" s="185">
        <v>30605</v>
      </c>
      <c r="E6" s="163">
        <v>30796</v>
      </c>
      <c r="F6" s="105">
        <v>33130</v>
      </c>
      <c r="G6" s="163">
        <v>35380</v>
      </c>
      <c r="H6" s="105">
        <v>36121</v>
      </c>
      <c r="I6" s="163">
        <v>35433</v>
      </c>
      <c r="J6" s="105">
        <v>35271</v>
      </c>
      <c r="K6" s="163">
        <v>34547</v>
      </c>
      <c r="L6" s="105">
        <v>33793</v>
      </c>
      <c r="M6" s="163">
        <v>32038</v>
      </c>
      <c r="N6" s="105">
        <v>32480</v>
      </c>
      <c r="O6" s="163">
        <v>31070</v>
      </c>
      <c r="P6" s="75">
        <v>29907</v>
      </c>
      <c r="Q6" s="163">
        <v>30313</v>
      </c>
      <c r="R6" s="75">
        <v>29778</v>
      </c>
      <c r="S6" s="163">
        <v>30141</v>
      </c>
      <c r="T6" s="75">
        <f>29356</f>
        <v>29356</v>
      </c>
      <c r="U6" s="163">
        <v>29313</v>
      </c>
      <c r="V6" s="75">
        <v>30558</v>
      </c>
      <c r="W6" s="163">
        <v>28282</v>
      </c>
      <c r="X6" s="75">
        <v>25681</v>
      </c>
      <c r="Y6" s="67">
        <v>26627</v>
      </c>
      <c r="Z6" s="67">
        <v>26742</v>
      </c>
      <c r="AA6" s="67">
        <v>25246</v>
      </c>
      <c r="AB6" s="2">
        <v>22880</v>
      </c>
      <c r="AC6" s="3">
        <v>23069</v>
      </c>
      <c r="AD6" s="2">
        <v>24661</v>
      </c>
      <c r="AE6" s="3">
        <v>25272</v>
      </c>
      <c r="AF6" s="2">
        <v>24765</v>
      </c>
      <c r="AG6" s="3">
        <v>25374</v>
      </c>
      <c r="AH6" s="2">
        <v>25286</v>
      </c>
      <c r="AI6" s="3">
        <v>25464</v>
      </c>
      <c r="AJ6" s="2">
        <v>23338</v>
      </c>
      <c r="AK6" s="3">
        <v>24128</v>
      </c>
      <c r="AL6" s="2">
        <v>24055</v>
      </c>
      <c r="AM6" s="3">
        <v>24565</v>
      </c>
      <c r="AN6" s="2">
        <v>21765</v>
      </c>
      <c r="AO6" s="3">
        <v>20872</v>
      </c>
      <c r="AP6" s="2">
        <v>19525</v>
      </c>
      <c r="AQ6" s="3">
        <v>18594</v>
      </c>
      <c r="AR6" s="2">
        <v>18311</v>
      </c>
      <c r="AS6" s="3">
        <v>20750</v>
      </c>
      <c r="AT6" s="2">
        <v>19463</v>
      </c>
      <c r="AU6" s="3">
        <v>19689</v>
      </c>
      <c r="AV6" s="2">
        <v>18790</v>
      </c>
      <c r="AW6" s="3">
        <v>18762</v>
      </c>
      <c r="AX6" s="2">
        <v>18038</v>
      </c>
      <c r="AY6" s="3">
        <v>17058</v>
      </c>
      <c r="AZ6" s="2">
        <v>16726</v>
      </c>
      <c r="BA6" s="3">
        <v>16417</v>
      </c>
      <c r="BB6" s="17">
        <v>17088</v>
      </c>
      <c r="BC6" s="11">
        <v>16589</v>
      </c>
      <c r="BD6" s="17">
        <v>15461</v>
      </c>
      <c r="BE6" s="11">
        <v>15353</v>
      </c>
      <c r="BF6" s="17">
        <v>16510</v>
      </c>
      <c r="BG6" s="11">
        <v>17173</v>
      </c>
      <c r="BH6" s="17">
        <v>16435</v>
      </c>
      <c r="BI6" s="11">
        <v>19050</v>
      </c>
      <c r="BJ6" s="17">
        <v>20076</v>
      </c>
      <c r="BK6" s="11">
        <v>19433</v>
      </c>
      <c r="BL6" s="17">
        <v>10606</v>
      </c>
      <c r="BM6" s="11">
        <v>10967</v>
      </c>
      <c r="BN6" s="17">
        <v>10682</v>
      </c>
      <c r="BO6" s="11">
        <v>10193</v>
      </c>
      <c r="BP6" s="17">
        <v>10409</v>
      </c>
      <c r="BQ6" s="11">
        <v>10310</v>
      </c>
      <c r="BR6" s="17">
        <v>11442</v>
      </c>
      <c r="BS6" s="11">
        <v>12340</v>
      </c>
    </row>
    <row r="7" spans="2:71" ht="12.75">
      <c r="B7" s="23" t="s">
        <v>33</v>
      </c>
      <c r="C7" s="23" t="s">
        <v>197</v>
      </c>
      <c r="D7" s="185">
        <v>194</v>
      </c>
      <c r="E7" s="163">
        <v>1003</v>
      </c>
      <c r="F7" s="105">
        <v>823</v>
      </c>
      <c r="G7" s="163">
        <v>521</v>
      </c>
      <c r="H7" s="105">
        <v>642</v>
      </c>
      <c r="I7" s="163">
        <v>282</v>
      </c>
      <c r="J7" s="105">
        <v>302</v>
      </c>
      <c r="K7" s="163">
        <v>442</v>
      </c>
      <c r="L7" s="105">
        <v>366</v>
      </c>
      <c r="M7" s="163">
        <v>649</v>
      </c>
      <c r="N7" s="105">
        <v>501</v>
      </c>
      <c r="O7" s="163">
        <v>579</v>
      </c>
      <c r="P7" s="75">
        <v>409</v>
      </c>
      <c r="Q7" s="163">
        <v>295</v>
      </c>
      <c r="R7" s="75">
        <v>608</v>
      </c>
      <c r="S7" s="163">
        <v>386</v>
      </c>
      <c r="T7" s="75">
        <v>237</v>
      </c>
      <c r="U7" s="163">
        <v>461</v>
      </c>
      <c r="V7" s="75">
        <v>407</v>
      </c>
      <c r="W7" s="163">
        <v>473</v>
      </c>
      <c r="X7" s="75">
        <v>128</v>
      </c>
      <c r="Y7" s="67">
        <f>3134+865</f>
        <v>3999</v>
      </c>
      <c r="Z7" s="67">
        <f>3310+425</f>
        <v>3735</v>
      </c>
      <c r="AA7" s="67">
        <f>3414+481</f>
        <v>3895</v>
      </c>
      <c r="AB7" s="2">
        <f>3247+749</f>
        <v>3996</v>
      </c>
      <c r="AC7" s="3">
        <f>3300+373</f>
        <v>3673</v>
      </c>
      <c r="AD7" s="2">
        <f>3433+397</f>
        <v>3830</v>
      </c>
      <c r="AE7" s="3">
        <f>3368+375</f>
        <v>3743</v>
      </c>
      <c r="AF7" s="2">
        <f>3478+295</f>
        <v>3773</v>
      </c>
      <c r="AG7" s="3">
        <f>3558+442</f>
        <v>4000</v>
      </c>
      <c r="AH7" s="2">
        <f>362+3418</f>
        <v>3780</v>
      </c>
      <c r="AI7" s="3">
        <f>3488+400</f>
        <v>3888</v>
      </c>
      <c r="AJ7" s="2">
        <f>3888+406</f>
        <v>4294</v>
      </c>
      <c r="AK7" s="3">
        <f>1722</f>
        <v>1722</v>
      </c>
      <c r="AL7" s="2">
        <f>625+1734</f>
        <v>2359</v>
      </c>
      <c r="AM7" s="3">
        <f>1754+442</f>
        <v>2196</v>
      </c>
      <c r="AN7" s="2">
        <f>3497+502</f>
        <v>3999</v>
      </c>
      <c r="AO7" s="3">
        <v>4737</v>
      </c>
      <c r="AP7" s="2">
        <v>2040</v>
      </c>
      <c r="AQ7" s="3">
        <v>1929</v>
      </c>
      <c r="AR7" s="2">
        <v>4208</v>
      </c>
      <c r="AS7" s="3">
        <v>2801</v>
      </c>
      <c r="AT7" s="2">
        <v>3002</v>
      </c>
      <c r="AU7" s="3">
        <v>2684</v>
      </c>
      <c r="AV7" s="2">
        <v>1485</v>
      </c>
      <c r="AW7" s="3">
        <v>1492</v>
      </c>
      <c r="AX7" s="2">
        <v>1355</v>
      </c>
      <c r="AY7" s="3">
        <v>1252</v>
      </c>
      <c r="AZ7" s="2">
        <v>1370</v>
      </c>
      <c r="BA7" s="3">
        <v>1336</v>
      </c>
      <c r="BB7" s="17">
        <v>1712</v>
      </c>
      <c r="BC7" s="11">
        <v>1302</v>
      </c>
      <c r="BD7" s="17">
        <v>1072</v>
      </c>
      <c r="BE7" s="11">
        <v>1849</v>
      </c>
      <c r="BF7" s="17">
        <v>1105</v>
      </c>
      <c r="BG7" s="11">
        <v>1093</v>
      </c>
      <c r="BH7" s="17">
        <v>1644</v>
      </c>
      <c r="BI7" s="11">
        <v>250</v>
      </c>
      <c r="BJ7" s="17">
        <v>263</v>
      </c>
      <c r="BK7" s="11">
        <v>298</v>
      </c>
      <c r="BL7" s="17">
        <v>166</v>
      </c>
      <c r="BM7" s="11">
        <v>161</v>
      </c>
      <c r="BN7" s="17">
        <v>161</v>
      </c>
      <c r="BO7" s="11">
        <v>170</v>
      </c>
      <c r="BP7" s="17">
        <v>175</v>
      </c>
      <c r="BQ7" s="11">
        <v>102</v>
      </c>
      <c r="BR7" s="17">
        <v>81</v>
      </c>
      <c r="BS7" s="11">
        <v>90</v>
      </c>
    </row>
    <row r="8" spans="2:71" ht="12.75">
      <c r="B8" s="23" t="s">
        <v>158</v>
      </c>
      <c r="C8" s="23" t="s">
        <v>198</v>
      </c>
      <c r="D8" s="185">
        <v>105</v>
      </c>
      <c r="E8" s="163">
        <v>144</v>
      </c>
      <c r="F8" s="105">
        <v>146</v>
      </c>
      <c r="G8" s="163">
        <v>102</v>
      </c>
      <c r="H8" s="105">
        <v>102</v>
      </c>
      <c r="I8" s="163">
        <v>58</v>
      </c>
      <c r="J8" s="105">
        <v>1076</v>
      </c>
      <c r="K8" s="163">
        <v>55</v>
      </c>
      <c r="L8" s="105">
        <v>55</v>
      </c>
      <c r="M8" s="163">
        <v>54</v>
      </c>
      <c r="N8" s="105">
        <v>54</v>
      </c>
      <c r="O8" s="163">
        <v>108</v>
      </c>
      <c r="P8" s="75">
        <v>2665</v>
      </c>
      <c r="Q8" s="163">
        <v>176</v>
      </c>
      <c r="R8" s="75">
        <v>87</v>
      </c>
      <c r="S8" s="163">
        <v>110</v>
      </c>
      <c r="T8" s="75">
        <v>68</v>
      </c>
      <c r="U8" s="163">
        <v>93</v>
      </c>
      <c r="V8" s="75"/>
      <c r="W8" s="163"/>
      <c r="X8" s="75"/>
      <c r="Y8" s="67"/>
      <c r="Z8" s="67"/>
      <c r="AA8" s="67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2"/>
      <c r="AO8" s="3"/>
      <c r="AP8" s="2"/>
      <c r="AQ8" s="3"/>
      <c r="AR8" s="2"/>
      <c r="AS8" s="3"/>
      <c r="AT8" s="2"/>
      <c r="AU8" s="3"/>
      <c r="AV8" s="2"/>
      <c r="AW8" s="3"/>
      <c r="AX8" s="2"/>
      <c r="AY8" s="3"/>
      <c r="AZ8" s="2"/>
      <c r="BA8" s="3"/>
      <c r="BB8" s="17"/>
      <c r="BC8" s="11"/>
      <c r="BD8" s="17"/>
      <c r="BE8" s="11"/>
      <c r="BF8" s="17"/>
      <c r="BG8" s="11"/>
      <c r="BH8" s="17"/>
      <c r="BI8" s="11"/>
      <c r="BJ8" s="17"/>
      <c r="BK8" s="11"/>
      <c r="BL8" s="17"/>
      <c r="BM8" s="11"/>
      <c r="BN8" s="17"/>
      <c r="BO8" s="11"/>
      <c r="BP8" s="17"/>
      <c r="BQ8" s="11"/>
      <c r="BR8" s="17"/>
      <c r="BS8" s="11"/>
    </row>
    <row r="9" spans="2:71" ht="12.75">
      <c r="B9" s="23" t="s">
        <v>34</v>
      </c>
      <c r="C9" s="23" t="s">
        <v>187</v>
      </c>
      <c r="D9" s="185">
        <v>5148</v>
      </c>
      <c r="E9" s="163">
        <v>5096</v>
      </c>
      <c r="F9" s="105">
        <v>5690</v>
      </c>
      <c r="G9" s="163">
        <v>4896</v>
      </c>
      <c r="H9" s="105">
        <v>5738</v>
      </c>
      <c r="I9" s="163">
        <v>5980</v>
      </c>
      <c r="J9" s="105">
        <v>1575</v>
      </c>
      <c r="K9" s="163">
        <v>1322</v>
      </c>
      <c r="L9" s="105">
        <v>3023</v>
      </c>
      <c r="M9" s="163">
        <v>1511</v>
      </c>
      <c r="N9" s="105">
        <v>2197</v>
      </c>
      <c r="O9" s="163">
        <v>2185</v>
      </c>
      <c r="P9" s="75">
        <v>1599</v>
      </c>
      <c r="Q9" s="163">
        <v>1446</v>
      </c>
      <c r="R9" s="75">
        <v>1252</v>
      </c>
      <c r="S9" s="163">
        <v>1156</v>
      </c>
      <c r="T9" s="75">
        <v>1684</v>
      </c>
      <c r="U9" s="163">
        <v>1564</v>
      </c>
      <c r="V9" s="75">
        <v>1708</v>
      </c>
      <c r="W9" s="163">
        <v>1787</v>
      </c>
      <c r="X9" s="75">
        <v>3498</v>
      </c>
      <c r="Y9" s="67">
        <v>1453</v>
      </c>
      <c r="Z9" s="67">
        <v>1159</v>
      </c>
      <c r="AA9" s="67">
        <v>2795</v>
      </c>
      <c r="AB9" s="2">
        <v>1696</v>
      </c>
      <c r="AC9" s="3">
        <v>3319</v>
      </c>
      <c r="AD9" s="2">
        <v>1259</v>
      </c>
      <c r="AE9" s="3">
        <v>2835</v>
      </c>
      <c r="AF9" s="8">
        <v>2531</v>
      </c>
      <c r="AG9" s="3">
        <v>1572</v>
      </c>
      <c r="AH9" s="2">
        <v>2236</v>
      </c>
      <c r="AI9" s="3">
        <v>2464</v>
      </c>
      <c r="AJ9" s="2">
        <v>2189</v>
      </c>
      <c r="AK9" s="3">
        <v>2850</v>
      </c>
      <c r="AL9" s="2">
        <v>2739</v>
      </c>
      <c r="AM9" s="3">
        <v>1284</v>
      </c>
      <c r="AN9" s="2">
        <v>1440</v>
      </c>
      <c r="AO9" s="3">
        <v>1384</v>
      </c>
      <c r="AP9" s="2">
        <v>1517</v>
      </c>
      <c r="AQ9" s="3">
        <v>1184</v>
      </c>
      <c r="AR9" s="2">
        <v>1630</v>
      </c>
      <c r="AS9" s="3">
        <v>2419</v>
      </c>
      <c r="AT9" s="2">
        <v>1594</v>
      </c>
      <c r="AU9" s="3">
        <v>1409</v>
      </c>
      <c r="AV9" s="2">
        <v>2951</v>
      </c>
      <c r="AW9" s="3">
        <v>2653</v>
      </c>
      <c r="AX9" s="2">
        <v>2531</v>
      </c>
      <c r="AY9" s="3">
        <v>2896</v>
      </c>
      <c r="AZ9" s="2">
        <v>2258</v>
      </c>
      <c r="BA9" s="3">
        <v>3840</v>
      </c>
      <c r="BB9" s="17">
        <v>3128</v>
      </c>
      <c r="BC9" s="11">
        <v>3600</v>
      </c>
      <c r="BD9" s="17">
        <v>2862</v>
      </c>
      <c r="BE9" s="11">
        <v>3420</v>
      </c>
      <c r="BF9" s="17">
        <v>3440</v>
      </c>
      <c r="BG9" s="11">
        <v>3557</v>
      </c>
      <c r="BH9" s="17">
        <v>3229</v>
      </c>
      <c r="BI9" s="11">
        <v>2803</v>
      </c>
      <c r="BJ9" s="17">
        <v>2634</v>
      </c>
      <c r="BK9" s="11">
        <v>2936</v>
      </c>
      <c r="BL9" s="17">
        <v>2820</v>
      </c>
      <c r="BM9" s="11">
        <v>1903</v>
      </c>
      <c r="BN9" s="17">
        <v>1539</v>
      </c>
      <c r="BO9" s="11">
        <v>1410</v>
      </c>
      <c r="BP9" s="17">
        <v>2684</v>
      </c>
      <c r="BQ9" s="11">
        <v>2922</v>
      </c>
      <c r="BR9" s="17">
        <v>2854</v>
      </c>
      <c r="BS9" s="11">
        <v>1258</v>
      </c>
    </row>
    <row r="10" spans="1:71" ht="12.75">
      <c r="A10" t="s">
        <v>171</v>
      </c>
      <c r="B10" s="32" t="s">
        <v>9</v>
      </c>
      <c r="C10" s="32" t="s">
        <v>188</v>
      </c>
      <c r="D10" s="165">
        <f>D5+D6+D7+D8+D9</f>
        <v>149859</v>
      </c>
      <c r="E10" s="164">
        <f>E5+E6+E7+E8+E9</f>
        <v>148591</v>
      </c>
      <c r="F10" s="165">
        <f aca="true" t="shared" si="0" ref="F10:U10">F5+F6+F7+F8+F9</f>
        <v>156448</v>
      </c>
      <c r="G10" s="164">
        <f t="shared" si="0"/>
        <v>158642</v>
      </c>
      <c r="H10" s="165">
        <f t="shared" si="0"/>
        <v>158968</v>
      </c>
      <c r="I10" s="164">
        <f t="shared" si="0"/>
        <v>152306</v>
      </c>
      <c r="J10" s="165">
        <f t="shared" si="0"/>
        <v>144276</v>
      </c>
      <c r="K10" s="164">
        <f t="shared" si="0"/>
        <v>142782</v>
      </c>
      <c r="L10" s="165">
        <f t="shared" si="0"/>
        <v>145050</v>
      </c>
      <c r="M10" s="164">
        <f t="shared" si="0"/>
        <v>134966</v>
      </c>
      <c r="N10" s="165">
        <f t="shared" si="0"/>
        <v>137535</v>
      </c>
      <c r="O10" s="164">
        <f t="shared" si="0"/>
        <v>135141</v>
      </c>
      <c r="P10" s="166">
        <f t="shared" si="0"/>
        <v>133544</v>
      </c>
      <c r="Q10" s="164">
        <f t="shared" si="0"/>
        <v>133358</v>
      </c>
      <c r="R10" s="166">
        <f t="shared" si="0"/>
        <v>131776</v>
      </c>
      <c r="S10" s="164">
        <f t="shared" si="0"/>
        <v>134947</v>
      </c>
      <c r="T10" s="166">
        <f t="shared" si="0"/>
        <v>135220</v>
      </c>
      <c r="U10" s="164">
        <f t="shared" si="0"/>
        <v>132555</v>
      </c>
      <c r="V10" s="166">
        <f aca="true" t="shared" si="1" ref="V10:AR10">V5+V6+V7+V8+V9</f>
        <v>136884</v>
      </c>
      <c r="W10" s="164">
        <f t="shared" si="1"/>
        <v>129842</v>
      </c>
      <c r="X10" s="166">
        <f t="shared" si="1"/>
        <v>126151</v>
      </c>
      <c r="Y10" s="63">
        <f t="shared" si="1"/>
        <v>117329</v>
      </c>
      <c r="Z10" s="70">
        <f t="shared" si="1"/>
        <v>118398</v>
      </c>
      <c r="AA10" s="63">
        <f t="shared" si="1"/>
        <v>112990</v>
      </c>
      <c r="AB10" s="70">
        <f t="shared" si="1"/>
        <v>107356</v>
      </c>
      <c r="AC10" s="63">
        <f t="shared" si="1"/>
        <v>104451</v>
      </c>
      <c r="AD10" s="70">
        <f t="shared" si="1"/>
        <v>105583</v>
      </c>
      <c r="AE10" s="63">
        <f t="shared" si="1"/>
        <v>108615</v>
      </c>
      <c r="AF10" s="70">
        <f t="shared" si="1"/>
        <v>109204</v>
      </c>
      <c r="AG10" s="63">
        <f t="shared" si="1"/>
        <v>108915</v>
      </c>
      <c r="AH10" s="70">
        <f t="shared" si="1"/>
        <v>107558</v>
      </c>
      <c r="AI10" s="63">
        <f t="shared" si="1"/>
        <v>109981</v>
      </c>
      <c r="AJ10" s="63">
        <f t="shared" si="1"/>
        <v>106788</v>
      </c>
      <c r="AK10" s="63">
        <f t="shared" si="1"/>
        <v>104105</v>
      </c>
      <c r="AL10" s="63">
        <f t="shared" si="1"/>
        <v>102659</v>
      </c>
      <c r="AM10" s="63">
        <f t="shared" si="1"/>
        <v>100339</v>
      </c>
      <c r="AN10" s="63">
        <f t="shared" si="1"/>
        <v>88166</v>
      </c>
      <c r="AO10" s="63">
        <f t="shared" si="1"/>
        <v>85709</v>
      </c>
      <c r="AP10" s="63">
        <f t="shared" si="1"/>
        <v>83038</v>
      </c>
      <c r="AQ10" s="63">
        <f t="shared" si="1"/>
        <v>81930</v>
      </c>
      <c r="AR10" s="63">
        <f t="shared" si="1"/>
        <v>85214</v>
      </c>
      <c r="AS10" s="16">
        <f aca="true" t="shared" si="2" ref="AS10:AY10">SUM(AS5:AS9)</f>
        <v>86869</v>
      </c>
      <c r="AT10" s="4">
        <f t="shared" si="2"/>
        <v>80605</v>
      </c>
      <c r="AU10" s="16">
        <f t="shared" si="2"/>
        <v>80337</v>
      </c>
      <c r="AV10" s="4">
        <f t="shared" si="2"/>
        <v>78373</v>
      </c>
      <c r="AW10" s="16">
        <f t="shared" si="2"/>
        <v>75041</v>
      </c>
      <c r="AX10" s="15">
        <f t="shared" si="2"/>
        <v>72275</v>
      </c>
      <c r="AY10" s="16">
        <f t="shared" si="2"/>
        <v>71027</v>
      </c>
      <c r="AZ10" s="15">
        <v>70705</v>
      </c>
      <c r="BA10" s="16">
        <v>70323</v>
      </c>
      <c r="BB10" s="4">
        <v>72206</v>
      </c>
      <c r="BC10" s="5">
        <v>71023</v>
      </c>
      <c r="BD10" s="4">
        <v>67994</v>
      </c>
      <c r="BE10" s="5">
        <v>67360</v>
      </c>
      <c r="BF10" s="4">
        <v>67481</v>
      </c>
      <c r="BG10" s="5">
        <v>68949</v>
      </c>
      <c r="BH10" s="4">
        <v>68130</v>
      </c>
      <c r="BI10" s="5">
        <v>71590</v>
      </c>
      <c r="BJ10" s="4">
        <v>74354</v>
      </c>
      <c r="BK10" s="5">
        <v>74428</v>
      </c>
      <c r="BL10" s="4">
        <v>44928</v>
      </c>
      <c r="BM10" s="5">
        <v>44461</v>
      </c>
      <c r="BN10" s="4">
        <v>43096</v>
      </c>
      <c r="BO10" s="5">
        <v>42039</v>
      </c>
      <c r="BP10" s="4">
        <v>44251</v>
      </c>
      <c r="BQ10" s="5">
        <v>44776</v>
      </c>
      <c r="BR10" s="4">
        <v>45290</v>
      </c>
      <c r="BS10" s="5">
        <v>45011</v>
      </c>
    </row>
    <row r="11" spans="2:71" ht="12.75">
      <c r="B11" s="23"/>
      <c r="C11" s="23"/>
      <c r="D11" s="23"/>
      <c r="E11" s="163"/>
      <c r="F11" s="105"/>
      <c r="G11" s="163"/>
      <c r="H11" s="105"/>
      <c r="I11" s="163"/>
      <c r="J11" s="105"/>
      <c r="K11" s="163"/>
      <c r="L11" s="105"/>
      <c r="M11" s="163"/>
      <c r="N11" s="105"/>
      <c r="O11" s="163"/>
      <c r="P11" s="75"/>
      <c r="Q11" s="163"/>
      <c r="R11" s="75"/>
      <c r="S11" s="163"/>
      <c r="T11" s="75"/>
      <c r="U11" s="163"/>
      <c r="V11" s="75"/>
      <c r="W11" s="163"/>
      <c r="X11" s="75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2"/>
      <c r="AO11" s="3"/>
      <c r="AP11" s="2"/>
      <c r="AQ11" s="3"/>
      <c r="AR11" s="2"/>
      <c r="AS11" s="3"/>
      <c r="AT11" s="2"/>
      <c r="AU11" s="3"/>
      <c r="AV11" s="2"/>
      <c r="AW11" s="3"/>
      <c r="AX11" s="2"/>
      <c r="AY11" s="3"/>
      <c r="AZ11" s="2"/>
      <c r="BA11" s="3"/>
      <c r="BB11" s="2"/>
      <c r="BC11" s="3"/>
      <c r="BD11" s="2"/>
      <c r="BE11" s="3"/>
      <c r="BF11" s="2"/>
      <c r="BG11" s="3"/>
      <c r="BH11" s="2"/>
      <c r="BI11" s="3"/>
      <c r="BJ11" s="2"/>
      <c r="BK11" s="3"/>
      <c r="BL11" s="2"/>
      <c r="BM11" s="3"/>
      <c r="BN11" s="2"/>
      <c r="BO11" s="3"/>
      <c r="BP11" s="2"/>
      <c r="BQ11" s="3"/>
      <c r="BR11" s="2"/>
      <c r="BS11" s="3"/>
    </row>
    <row r="12" spans="2:71" ht="12.75">
      <c r="B12" s="32" t="s">
        <v>10</v>
      </c>
      <c r="C12" s="32" t="s">
        <v>189</v>
      </c>
      <c r="D12" s="32"/>
      <c r="E12" s="164"/>
      <c r="F12" s="165"/>
      <c r="G12" s="164"/>
      <c r="H12" s="165"/>
      <c r="I12" s="164"/>
      <c r="J12" s="165"/>
      <c r="K12" s="164"/>
      <c r="L12" s="165"/>
      <c r="M12" s="164"/>
      <c r="N12" s="165"/>
      <c r="O12" s="164"/>
      <c r="P12" s="75"/>
      <c r="Q12" s="164"/>
      <c r="R12" s="75"/>
      <c r="S12" s="164"/>
      <c r="T12" s="75"/>
      <c r="U12" s="164"/>
      <c r="V12" s="75"/>
      <c r="W12" s="164"/>
      <c r="X12" s="75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2"/>
      <c r="AO12" s="3"/>
      <c r="AP12" s="2"/>
      <c r="AQ12" s="3"/>
      <c r="AR12" s="2"/>
      <c r="AS12" s="3"/>
      <c r="AT12" s="2"/>
      <c r="AU12" s="3"/>
      <c r="AV12" s="2"/>
      <c r="AW12" s="3"/>
      <c r="AX12" s="2"/>
      <c r="AY12" s="3"/>
      <c r="AZ12" s="2"/>
      <c r="BA12" s="3"/>
      <c r="BB12" s="17"/>
      <c r="BC12" s="11"/>
      <c r="BD12" s="17"/>
      <c r="BE12" s="11"/>
      <c r="BF12" s="17"/>
      <c r="BG12" s="11"/>
      <c r="BH12" s="17"/>
      <c r="BI12" s="11"/>
      <c r="BJ12" s="17"/>
      <c r="BK12" s="11"/>
      <c r="BL12" s="17"/>
      <c r="BM12" s="11"/>
      <c r="BN12" s="17"/>
      <c r="BO12" s="11"/>
      <c r="BP12" s="17"/>
      <c r="BQ12" s="11"/>
      <c r="BR12" s="17"/>
      <c r="BS12" s="11"/>
    </row>
    <row r="13" spans="1:71" ht="12.75">
      <c r="A13" t="s">
        <v>171</v>
      </c>
      <c r="B13" s="23" t="s">
        <v>11</v>
      </c>
      <c r="C13" s="23" t="s">
        <v>190</v>
      </c>
      <c r="D13" s="185">
        <v>67156</v>
      </c>
      <c r="E13" s="163">
        <v>65090</v>
      </c>
      <c r="F13" s="105">
        <v>66504</v>
      </c>
      <c r="G13" s="163">
        <v>67649</v>
      </c>
      <c r="H13" s="105">
        <v>66450</v>
      </c>
      <c r="I13" s="163">
        <v>63933</v>
      </c>
      <c r="J13" s="105">
        <v>61508</v>
      </c>
      <c r="K13" s="163">
        <v>63595</v>
      </c>
      <c r="L13" s="105">
        <v>63590</v>
      </c>
      <c r="M13" s="163">
        <v>61705</v>
      </c>
      <c r="N13" s="105">
        <v>61159</v>
      </c>
      <c r="O13" s="163">
        <v>58688</v>
      </c>
      <c r="P13" s="75">
        <v>58299</v>
      </c>
      <c r="Q13" s="163">
        <v>56826</v>
      </c>
      <c r="R13" s="75">
        <v>55075</v>
      </c>
      <c r="S13" s="163">
        <v>57986</v>
      </c>
      <c r="T13" s="75">
        <f>56343</f>
        <v>56343</v>
      </c>
      <c r="U13" s="163">
        <v>54246</v>
      </c>
      <c r="V13" s="75">
        <v>56764</v>
      </c>
      <c r="W13" s="163">
        <v>56299</v>
      </c>
      <c r="X13" s="75">
        <v>54350</v>
      </c>
      <c r="Y13" s="67">
        <v>55178</v>
      </c>
      <c r="Z13" s="67">
        <v>54182</v>
      </c>
      <c r="AA13" s="67">
        <v>54904</v>
      </c>
      <c r="AB13" s="2">
        <v>49754</v>
      </c>
      <c r="AC13" s="3">
        <v>48302</v>
      </c>
      <c r="AD13" s="2">
        <v>47449</v>
      </c>
      <c r="AE13" s="3">
        <v>48984</v>
      </c>
      <c r="AF13" s="2">
        <v>47983</v>
      </c>
      <c r="AG13" s="3">
        <v>46669</v>
      </c>
      <c r="AH13" s="2">
        <v>45034</v>
      </c>
      <c r="AI13" s="3">
        <v>46192</v>
      </c>
      <c r="AJ13" s="2">
        <v>45983</v>
      </c>
      <c r="AK13" s="3">
        <v>45329</v>
      </c>
      <c r="AL13" s="2">
        <v>42790</v>
      </c>
      <c r="AM13" s="3">
        <v>42699</v>
      </c>
      <c r="AN13" s="2">
        <v>39898</v>
      </c>
      <c r="AO13" s="3">
        <v>38435</v>
      </c>
      <c r="AP13" s="2">
        <v>34345</v>
      </c>
      <c r="AQ13" s="3">
        <v>34848</v>
      </c>
      <c r="AR13" s="2">
        <v>34133</v>
      </c>
      <c r="AS13" s="3">
        <v>28402</v>
      </c>
      <c r="AT13" s="2">
        <v>27568</v>
      </c>
      <c r="AU13" s="3">
        <v>28250</v>
      </c>
      <c r="AV13" s="2">
        <v>28404</v>
      </c>
      <c r="AW13" s="3">
        <v>27227</v>
      </c>
      <c r="AX13" s="2">
        <v>25364</v>
      </c>
      <c r="AY13" s="3">
        <v>25563</v>
      </c>
      <c r="AZ13" s="2">
        <v>24653</v>
      </c>
      <c r="BA13" s="3">
        <v>23719</v>
      </c>
      <c r="BB13" s="17">
        <v>23436</v>
      </c>
      <c r="BC13" s="11">
        <v>23619</v>
      </c>
      <c r="BD13" s="17">
        <v>22906</v>
      </c>
      <c r="BE13" s="11">
        <v>22117</v>
      </c>
      <c r="BF13" s="17">
        <v>21652</v>
      </c>
      <c r="BG13" s="11">
        <v>22646</v>
      </c>
      <c r="BH13" s="17">
        <v>22024</v>
      </c>
      <c r="BI13" s="11">
        <v>21494</v>
      </c>
      <c r="BJ13" s="17">
        <v>21129</v>
      </c>
      <c r="BK13" s="11">
        <v>20580</v>
      </c>
      <c r="BL13" s="17">
        <v>19590</v>
      </c>
      <c r="BM13" s="11">
        <v>20287</v>
      </c>
      <c r="BN13" s="17">
        <v>20083</v>
      </c>
      <c r="BO13" s="11">
        <v>20558</v>
      </c>
      <c r="BP13" s="17">
        <v>19963</v>
      </c>
      <c r="BQ13" s="11">
        <v>18208</v>
      </c>
      <c r="BR13" s="17">
        <v>18115</v>
      </c>
      <c r="BS13" s="11">
        <v>18399</v>
      </c>
    </row>
    <row r="14" spans="2:71" ht="12.75">
      <c r="B14" s="23" t="s">
        <v>3</v>
      </c>
      <c r="C14" s="23" t="s">
        <v>191</v>
      </c>
      <c r="D14" s="185">
        <v>750</v>
      </c>
      <c r="E14" s="163">
        <v>718</v>
      </c>
      <c r="F14" s="105">
        <v>797</v>
      </c>
      <c r="G14" s="163">
        <v>817</v>
      </c>
      <c r="H14" s="105">
        <v>802</v>
      </c>
      <c r="I14" s="163">
        <v>687</v>
      </c>
      <c r="J14" s="105">
        <v>686</v>
      </c>
      <c r="K14" s="163">
        <v>678</v>
      </c>
      <c r="L14" s="105">
        <v>689</v>
      </c>
      <c r="M14" s="163">
        <v>701</v>
      </c>
      <c r="N14" s="105">
        <v>682</v>
      </c>
      <c r="O14" s="163">
        <v>702</v>
      </c>
      <c r="P14" s="75">
        <v>664</v>
      </c>
      <c r="Q14" s="163">
        <v>701</v>
      </c>
      <c r="R14" s="75">
        <v>755</v>
      </c>
      <c r="S14" s="163">
        <v>772</v>
      </c>
      <c r="T14" s="75">
        <v>767</v>
      </c>
      <c r="U14" s="163">
        <v>791</v>
      </c>
      <c r="V14" s="75">
        <v>824</v>
      </c>
      <c r="W14" s="163">
        <v>789</v>
      </c>
      <c r="X14" s="75">
        <v>768</v>
      </c>
      <c r="Y14" s="67">
        <v>775</v>
      </c>
      <c r="Z14" s="67">
        <v>781</v>
      </c>
      <c r="AA14" s="67">
        <v>825</v>
      </c>
      <c r="AB14" s="2">
        <v>751</v>
      </c>
      <c r="AC14" s="3">
        <v>690</v>
      </c>
      <c r="AD14" s="2">
        <v>720</v>
      </c>
      <c r="AE14" s="3">
        <v>717</v>
      </c>
      <c r="AF14" s="2">
        <v>687</v>
      </c>
      <c r="AG14" s="3">
        <v>703</v>
      </c>
      <c r="AH14" s="2">
        <v>743</v>
      </c>
      <c r="AI14" s="3">
        <v>693</v>
      </c>
      <c r="AJ14" s="2">
        <v>736</v>
      </c>
      <c r="AK14" s="3">
        <v>746</v>
      </c>
      <c r="AL14" s="2">
        <v>705</v>
      </c>
      <c r="AM14" s="3">
        <v>683</v>
      </c>
      <c r="AN14" s="2">
        <v>612</v>
      </c>
      <c r="AO14" s="3">
        <v>587</v>
      </c>
      <c r="AP14" s="2">
        <v>622</v>
      </c>
      <c r="AQ14" s="3">
        <v>580</v>
      </c>
      <c r="AR14" s="2">
        <v>587</v>
      </c>
      <c r="AS14" s="3">
        <v>1276</v>
      </c>
      <c r="AT14" s="2">
        <v>1292</v>
      </c>
      <c r="AU14" s="3">
        <v>1349</v>
      </c>
      <c r="AV14" s="2">
        <v>1386</v>
      </c>
      <c r="AW14" s="3">
        <v>1248</v>
      </c>
      <c r="AX14" s="2">
        <v>1310</v>
      </c>
      <c r="AY14" s="3">
        <v>1325</v>
      </c>
      <c r="AZ14" s="2">
        <v>1496</v>
      </c>
      <c r="BA14" s="3">
        <v>3301</v>
      </c>
      <c r="BB14" s="17">
        <v>3468</v>
      </c>
      <c r="BC14" s="11">
        <v>3475</v>
      </c>
      <c r="BD14" s="17">
        <v>3331</v>
      </c>
      <c r="BE14" s="11">
        <v>3266</v>
      </c>
      <c r="BF14" s="17">
        <v>3399</v>
      </c>
      <c r="BG14" s="11">
        <v>3527</v>
      </c>
      <c r="BH14" s="17">
        <v>3493</v>
      </c>
      <c r="BI14" s="11">
        <v>3647</v>
      </c>
      <c r="BJ14" s="17">
        <v>3797</v>
      </c>
      <c r="BK14" s="11">
        <v>3754</v>
      </c>
      <c r="BL14" s="17">
        <v>853</v>
      </c>
      <c r="BM14" s="11">
        <v>986</v>
      </c>
      <c r="BN14" s="17">
        <v>989</v>
      </c>
      <c r="BO14" s="11">
        <v>894</v>
      </c>
      <c r="BP14" s="17">
        <v>916</v>
      </c>
      <c r="BQ14" s="11">
        <v>910</v>
      </c>
      <c r="BR14" s="17">
        <v>850</v>
      </c>
      <c r="BS14" s="11">
        <v>867</v>
      </c>
    </row>
    <row r="15" spans="2:71" ht="12.75">
      <c r="B15" s="23" t="s">
        <v>12</v>
      </c>
      <c r="C15" s="23"/>
      <c r="D15" s="185"/>
      <c r="E15" s="163"/>
      <c r="F15" s="105"/>
      <c r="G15" s="163"/>
      <c r="H15" s="105"/>
      <c r="I15" s="163"/>
      <c r="J15" s="105"/>
      <c r="K15" s="163"/>
      <c r="L15" s="105"/>
      <c r="M15" s="163"/>
      <c r="N15" s="105"/>
      <c r="O15" s="163"/>
      <c r="P15" s="75"/>
      <c r="Q15" s="163"/>
      <c r="R15" s="75"/>
      <c r="S15" s="163"/>
      <c r="T15" s="75"/>
      <c r="U15" s="163"/>
      <c r="V15" s="75"/>
      <c r="W15" s="163"/>
      <c r="X15" s="75"/>
      <c r="Y15" s="67"/>
      <c r="Z15" s="67"/>
      <c r="AA15" s="67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2"/>
      <c r="AO15" s="3"/>
      <c r="AP15" s="2"/>
      <c r="AQ15" s="3"/>
      <c r="AR15" s="2"/>
      <c r="AS15" s="3"/>
      <c r="AT15" s="2"/>
      <c r="AU15" s="3"/>
      <c r="AV15" s="2"/>
      <c r="AW15" s="3"/>
      <c r="AX15" s="2"/>
      <c r="AY15" s="3"/>
      <c r="AZ15" s="2"/>
      <c r="BA15" s="3"/>
      <c r="BB15" s="17"/>
      <c r="BC15" s="11"/>
      <c r="BD15" s="17"/>
      <c r="BE15" s="11"/>
      <c r="BF15" s="17"/>
      <c r="BG15" s="11"/>
      <c r="BH15" s="17"/>
      <c r="BI15" s="11"/>
      <c r="BJ15" s="17"/>
      <c r="BK15" s="11"/>
      <c r="BL15" s="17"/>
      <c r="BM15" s="11"/>
      <c r="BN15" s="17"/>
      <c r="BO15" s="11"/>
      <c r="BP15" s="17"/>
      <c r="BQ15" s="11"/>
      <c r="BR15" s="17"/>
      <c r="BS15" s="11"/>
    </row>
    <row r="16" spans="2:71" ht="12.75">
      <c r="B16" s="93" t="s">
        <v>301</v>
      </c>
      <c r="C16" s="23" t="s">
        <v>302</v>
      </c>
      <c r="D16" s="185"/>
      <c r="E16" s="163"/>
      <c r="F16" s="105"/>
      <c r="G16" s="163"/>
      <c r="H16" s="105"/>
      <c r="I16" s="163"/>
      <c r="J16" s="105"/>
      <c r="K16" s="163"/>
      <c r="L16" s="105"/>
      <c r="M16" s="163"/>
      <c r="N16" s="167"/>
      <c r="O16" s="163"/>
      <c r="P16" s="168">
        <v>55</v>
      </c>
      <c r="Q16" s="163"/>
      <c r="R16" s="75"/>
      <c r="S16" s="163"/>
      <c r="T16" s="75"/>
      <c r="U16" s="163"/>
      <c r="V16" s="75"/>
      <c r="W16" s="163"/>
      <c r="X16" s="75"/>
      <c r="Y16" s="67"/>
      <c r="Z16" s="67"/>
      <c r="AA16" s="67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2"/>
      <c r="AO16" s="3"/>
      <c r="AP16" s="2"/>
      <c r="AQ16" s="3"/>
      <c r="AR16" s="2"/>
      <c r="AS16" s="3"/>
      <c r="AT16" s="2"/>
      <c r="AU16" s="3"/>
      <c r="AV16" s="2"/>
      <c r="AW16" s="3"/>
      <c r="AX16" s="2"/>
      <c r="AY16" s="3"/>
      <c r="AZ16" s="2"/>
      <c r="BA16" s="3"/>
      <c r="BB16" s="17"/>
      <c r="BC16" s="11"/>
      <c r="BD16" s="17"/>
      <c r="BE16" s="11"/>
      <c r="BF16" s="17"/>
      <c r="BG16" s="11"/>
      <c r="BH16" s="17"/>
      <c r="BI16" s="11"/>
      <c r="BJ16" s="17"/>
      <c r="BK16" s="11"/>
      <c r="BL16" s="17"/>
      <c r="BM16" s="11"/>
      <c r="BN16" s="17"/>
      <c r="BO16" s="11"/>
      <c r="BP16" s="17"/>
      <c r="BQ16" s="11"/>
      <c r="BR16" s="17"/>
      <c r="BS16" s="11"/>
    </row>
    <row r="17" spans="2:71" ht="12.75">
      <c r="B17" s="23" t="s">
        <v>13</v>
      </c>
      <c r="C17" s="23" t="s">
        <v>199</v>
      </c>
      <c r="D17" s="185">
        <v>44356</v>
      </c>
      <c r="E17" s="163">
        <v>43097</v>
      </c>
      <c r="F17" s="105">
        <v>50583</v>
      </c>
      <c r="G17" s="163">
        <v>52946</v>
      </c>
      <c r="H17" s="105">
        <v>53008</v>
      </c>
      <c r="I17" s="163">
        <v>45467</v>
      </c>
      <c r="J17" s="167">
        <v>44868</v>
      </c>
      <c r="K17" s="163">
        <f>20046+989+20598</f>
        <v>41633</v>
      </c>
      <c r="L17" s="167">
        <f>20247+133+21943</f>
        <v>42323</v>
      </c>
      <c r="M17" s="163">
        <f>20712+181+16860</f>
        <v>37753</v>
      </c>
      <c r="N17" s="167">
        <f>20067+188+20013</f>
        <v>40268</v>
      </c>
      <c r="O17" s="163">
        <f>18767+188+18619</f>
        <v>37574</v>
      </c>
      <c r="P17" s="168">
        <f>16852+157+21537</f>
        <v>38546</v>
      </c>
      <c r="Q17" s="163">
        <v>39569</v>
      </c>
      <c r="R17" s="75">
        <f>17246+217+22244</f>
        <v>39707</v>
      </c>
      <c r="S17" s="163">
        <v>38864</v>
      </c>
      <c r="T17" s="75">
        <f>18638+208+20190</f>
        <v>39036</v>
      </c>
      <c r="U17" s="163">
        <v>32535</v>
      </c>
      <c r="V17" s="75">
        <v>34139</v>
      </c>
      <c r="W17" s="163">
        <v>32362</v>
      </c>
      <c r="X17" s="75">
        <f>19155+15775+91</f>
        <v>35021</v>
      </c>
      <c r="Y17" s="67">
        <f>17067+17041</f>
        <v>34108</v>
      </c>
      <c r="Z17" s="67">
        <f>19229+16235</f>
        <v>35464</v>
      </c>
      <c r="AA17" s="67">
        <f>15962+12013</f>
        <v>27975</v>
      </c>
      <c r="AB17" s="2">
        <f>24906+360</f>
        <v>25266</v>
      </c>
      <c r="AC17" s="3">
        <f>15437+9356</f>
        <v>24793</v>
      </c>
      <c r="AD17" s="2">
        <f>12853+12857</f>
        <v>25710</v>
      </c>
      <c r="AE17" s="3">
        <f>13378+12855</f>
        <v>26233</v>
      </c>
      <c r="AF17" s="2">
        <v>27498</v>
      </c>
      <c r="AG17" s="3">
        <v>27554</v>
      </c>
      <c r="AH17" s="2">
        <v>28555</v>
      </c>
      <c r="AI17" s="3">
        <v>30151</v>
      </c>
      <c r="AJ17" s="2">
        <v>27746</v>
      </c>
      <c r="AK17" s="3">
        <v>28935</v>
      </c>
      <c r="AL17" s="2">
        <v>31200</v>
      </c>
      <c r="AM17" s="3">
        <v>30430</v>
      </c>
      <c r="AN17" s="2">
        <v>18694</v>
      </c>
      <c r="AO17" s="3">
        <v>22712</v>
      </c>
      <c r="AP17" s="2">
        <v>26594</v>
      </c>
      <c r="AQ17" s="3">
        <v>25712</v>
      </c>
      <c r="AR17" s="2">
        <v>28881</v>
      </c>
      <c r="AS17" s="3">
        <v>33073</v>
      </c>
      <c r="AT17" s="2">
        <v>29057</v>
      </c>
      <c r="AU17" s="3">
        <v>27792</v>
      </c>
      <c r="AV17" s="2">
        <v>25806</v>
      </c>
      <c r="AW17" s="3">
        <v>24353</v>
      </c>
      <c r="AX17" s="2">
        <v>23659</v>
      </c>
      <c r="AY17" s="3">
        <v>22803</v>
      </c>
      <c r="AZ17" s="2">
        <v>22647</v>
      </c>
      <c r="BA17" s="3">
        <v>22467</v>
      </c>
      <c r="BB17" s="17">
        <v>23683</v>
      </c>
      <c r="BC17" s="11">
        <v>23083</v>
      </c>
      <c r="BD17" s="17">
        <v>21396</v>
      </c>
      <c r="BE17" s="11">
        <v>22274</v>
      </c>
      <c r="BF17" s="17">
        <v>22699</v>
      </c>
      <c r="BG17" s="11">
        <v>22660</v>
      </c>
      <c r="BH17" s="17">
        <v>22439</v>
      </c>
      <c r="BI17" s="11">
        <v>25433</v>
      </c>
      <c r="BJ17" s="17">
        <v>27985</v>
      </c>
      <c r="BK17" s="11">
        <v>29260</v>
      </c>
      <c r="BL17" s="17">
        <v>13559</v>
      </c>
      <c r="BM17" s="11">
        <v>13161</v>
      </c>
      <c r="BN17" s="17">
        <v>12336</v>
      </c>
      <c r="BO17" s="11">
        <v>11380</v>
      </c>
      <c r="BP17" s="17">
        <v>13673</v>
      </c>
      <c r="BQ17" s="11">
        <v>15567</v>
      </c>
      <c r="BR17" s="17">
        <v>15494</v>
      </c>
      <c r="BS17" s="11">
        <v>14607</v>
      </c>
    </row>
    <row r="18" spans="2:71" ht="12.75">
      <c r="B18" s="23" t="s">
        <v>35</v>
      </c>
      <c r="C18" s="23" t="s">
        <v>200</v>
      </c>
      <c r="D18" s="185">
        <v>37597</v>
      </c>
      <c r="E18" s="163">
        <v>39686</v>
      </c>
      <c r="F18" s="105">
        <v>38564</v>
      </c>
      <c r="G18" s="163">
        <v>37230</v>
      </c>
      <c r="H18" s="105">
        <v>38708</v>
      </c>
      <c r="I18" s="163">
        <v>42219</v>
      </c>
      <c r="J18" s="167">
        <v>37214</v>
      </c>
      <c r="K18" s="163">
        <f>1893+11462+23521</f>
        <v>36876</v>
      </c>
      <c r="L18" s="167">
        <f>1987+12212+24249</f>
        <v>38448</v>
      </c>
      <c r="M18" s="163">
        <f>1815+11407+21585</f>
        <v>34807</v>
      </c>
      <c r="N18" s="167">
        <f>1959+12139+21328</f>
        <v>35426</v>
      </c>
      <c r="O18" s="163">
        <f>2270+11795+21305+2807</f>
        <v>38177</v>
      </c>
      <c r="P18" s="168">
        <f>2793+11447+21740</f>
        <v>35980</v>
      </c>
      <c r="Q18" s="163">
        <v>36262</v>
      </c>
      <c r="R18" s="75">
        <f>3259+12270+20710</f>
        <v>36239</v>
      </c>
      <c r="S18" s="163">
        <v>37325</v>
      </c>
      <c r="T18" s="75">
        <f>22039+4810+12225</f>
        <v>39074</v>
      </c>
      <c r="U18" s="163">
        <v>44983</v>
      </c>
      <c r="V18" s="75">
        <v>45157</v>
      </c>
      <c r="W18" s="163">
        <v>40392</v>
      </c>
      <c r="X18" s="75">
        <f>19050+12574+4388</f>
        <v>36012</v>
      </c>
      <c r="Y18" s="67">
        <f>2406+11116+18338+120</f>
        <v>31980</v>
      </c>
      <c r="Z18" s="67">
        <f>11315+141+18163+2590</f>
        <v>32209</v>
      </c>
      <c r="AA18" s="67">
        <f>2627+11147+147+18402</f>
        <v>32323</v>
      </c>
      <c r="AB18" s="2">
        <f>17965+13620</f>
        <v>31585</v>
      </c>
      <c r="AC18" s="3">
        <f>10932+291+2572+16871</f>
        <v>30666</v>
      </c>
      <c r="AD18" s="2">
        <f>11324+2710+307+17363</f>
        <v>31704</v>
      </c>
      <c r="AE18" s="3">
        <f>11481+324+18236+2640</f>
        <v>32681</v>
      </c>
      <c r="AF18" s="2">
        <f>18225+14811</f>
        <v>33036</v>
      </c>
      <c r="AG18" s="3">
        <f>12888+18543+2558</f>
        <v>33989</v>
      </c>
      <c r="AH18" s="2">
        <f>2555+12314+18357</f>
        <v>33226</v>
      </c>
      <c r="AI18" s="3">
        <f>2558+12115+18272</f>
        <v>32945</v>
      </c>
      <c r="AJ18" s="2">
        <f>2598+12272+17453</f>
        <v>32323</v>
      </c>
      <c r="AK18" s="3">
        <f>17960+670+10465</f>
        <v>29095</v>
      </c>
      <c r="AL18" s="2">
        <f>17022+700+10242</f>
        <v>27964</v>
      </c>
      <c r="AM18" s="3">
        <f>680+11038+14809</f>
        <v>26527</v>
      </c>
      <c r="AN18" s="2">
        <f>2624+10618+15720</f>
        <v>28962</v>
      </c>
      <c r="AO18" s="3">
        <f>9773+14202</f>
        <v>23975</v>
      </c>
      <c r="AP18" s="2">
        <f>8481+12996</f>
        <v>21477</v>
      </c>
      <c r="AQ18" s="3">
        <v>20790</v>
      </c>
      <c r="AR18" s="2">
        <v>21613</v>
      </c>
      <c r="AS18" s="3">
        <v>24118</v>
      </c>
      <c r="AT18" s="2">
        <v>22688</v>
      </c>
      <c r="AU18" s="3">
        <v>22946</v>
      </c>
      <c r="AV18" s="2">
        <v>22777</v>
      </c>
      <c r="AW18" s="3">
        <v>22213</v>
      </c>
      <c r="AX18" s="2">
        <v>21942</v>
      </c>
      <c r="AY18" s="3">
        <v>21336</v>
      </c>
      <c r="AZ18" s="2">
        <v>21909</v>
      </c>
      <c r="BA18" s="3">
        <v>20836</v>
      </c>
      <c r="BB18" s="17">
        <v>21619</v>
      </c>
      <c r="BC18" s="11">
        <v>20846</v>
      </c>
      <c r="BD18" s="17">
        <v>20361</v>
      </c>
      <c r="BE18" s="11">
        <v>19703</v>
      </c>
      <c r="BF18" s="17">
        <v>19731</v>
      </c>
      <c r="BG18" s="11">
        <v>20116</v>
      </c>
      <c r="BH18" s="17">
        <v>20174</v>
      </c>
      <c r="BI18" s="11">
        <v>21016</v>
      </c>
      <c r="BJ18" s="17">
        <v>21443</v>
      </c>
      <c r="BK18" s="11">
        <v>20834</v>
      </c>
      <c r="BL18" s="17">
        <v>10926</v>
      </c>
      <c r="BM18" s="11">
        <v>10027</v>
      </c>
      <c r="BN18" s="17">
        <v>9688</v>
      </c>
      <c r="BO18" s="11">
        <v>9207</v>
      </c>
      <c r="BP18" s="17">
        <v>9699</v>
      </c>
      <c r="BQ18" s="11">
        <v>10091</v>
      </c>
      <c r="BR18" s="17">
        <v>10831</v>
      </c>
      <c r="BS18" s="11">
        <v>11138</v>
      </c>
    </row>
    <row r="19" spans="1:71" ht="12.75">
      <c r="A19" t="s">
        <v>171</v>
      </c>
      <c r="B19" s="32" t="s">
        <v>96</v>
      </c>
      <c r="C19" s="32" t="s">
        <v>195</v>
      </c>
      <c r="D19" s="165">
        <f>D13+D14+D17+D18</f>
        <v>149859</v>
      </c>
      <c r="E19" s="164">
        <f>E13+E14+E17+E18</f>
        <v>148591</v>
      </c>
      <c r="F19" s="165">
        <f aca="true" t="shared" si="3" ref="F19:V19">F13+F14+F17+F18</f>
        <v>156448</v>
      </c>
      <c r="G19" s="164">
        <f t="shared" si="3"/>
        <v>158642</v>
      </c>
      <c r="H19" s="165">
        <f t="shared" si="3"/>
        <v>158968</v>
      </c>
      <c r="I19" s="164">
        <f t="shared" si="3"/>
        <v>152306</v>
      </c>
      <c r="J19" s="165">
        <f t="shared" si="3"/>
        <v>144276</v>
      </c>
      <c r="K19" s="164">
        <f t="shared" si="3"/>
        <v>142782</v>
      </c>
      <c r="L19" s="165">
        <f t="shared" si="3"/>
        <v>145050</v>
      </c>
      <c r="M19" s="164">
        <f t="shared" si="3"/>
        <v>134966</v>
      </c>
      <c r="N19" s="165">
        <f t="shared" si="3"/>
        <v>137535</v>
      </c>
      <c r="O19" s="164">
        <f t="shared" si="3"/>
        <v>135141</v>
      </c>
      <c r="P19" s="166">
        <f>P13+P14+P16+P17+P18</f>
        <v>133544</v>
      </c>
      <c r="Q19" s="164">
        <f t="shared" si="3"/>
        <v>133358</v>
      </c>
      <c r="R19" s="166">
        <f t="shared" si="3"/>
        <v>131776</v>
      </c>
      <c r="S19" s="164">
        <f t="shared" si="3"/>
        <v>134947</v>
      </c>
      <c r="T19" s="166">
        <f t="shared" si="3"/>
        <v>135220</v>
      </c>
      <c r="U19" s="164">
        <f t="shared" si="3"/>
        <v>132555</v>
      </c>
      <c r="V19" s="169">
        <f t="shared" si="3"/>
        <v>136884</v>
      </c>
      <c r="W19" s="170">
        <f aca="true" t="shared" si="4" ref="W19:AY19">SUM(W13:W18)</f>
        <v>129842</v>
      </c>
      <c r="X19" s="169">
        <f t="shared" si="4"/>
        <v>126151</v>
      </c>
      <c r="Y19" s="68">
        <f t="shared" si="4"/>
        <v>122041</v>
      </c>
      <c r="Z19" s="68">
        <f t="shared" si="4"/>
        <v>122636</v>
      </c>
      <c r="AA19" s="68">
        <f t="shared" si="4"/>
        <v>116027</v>
      </c>
      <c r="AB19" s="15">
        <f t="shared" si="4"/>
        <v>107356</v>
      </c>
      <c r="AC19" s="16">
        <f t="shared" si="4"/>
        <v>104451</v>
      </c>
      <c r="AD19" s="15">
        <f t="shared" si="4"/>
        <v>105583</v>
      </c>
      <c r="AE19" s="16">
        <f t="shared" si="4"/>
        <v>108615</v>
      </c>
      <c r="AF19" s="15">
        <f t="shared" si="4"/>
        <v>109204</v>
      </c>
      <c r="AG19" s="16">
        <f t="shared" si="4"/>
        <v>108915</v>
      </c>
      <c r="AH19" s="15">
        <f t="shared" si="4"/>
        <v>107558</v>
      </c>
      <c r="AI19" s="16">
        <f t="shared" si="4"/>
        <v>109981</v>
      </c>
      <c r="AJ19" s="15">
        <f t="shared" si="4"/>
        <v>106788</v>
      </c>
      <c r="AK19" s="16">
        <f t="shared" si="4"/>
        <v>104105</v>
      </c>
      <c r="AL19" s="15">
        <f t="shared" si="4"/>
        <v>102659</v>
      </c>
      <c r="AM19" s="16">
        <f t="shared" si="4"/>
        <v>100339</v>
      </c>
      <c r="AN19" s="15">
        <f t="shared" si="4"/>
        <v>88166</v>
      </c>
      <c r="AO19" s="16">
        <f t="shared" si="4"/>
        <v>85709</v>
      </c>
      <c r="AP19" s="15">
        <f t="shared" si="4"/>
        <v>83038</v>
      </c>
      <c r="AQ19" s="16">
        <f t="shared" si="4"/>
        <v>81930</v>
      </c>
      <c r="AR19" s="4">
        <f t="shared" si="4"/>
        <v>85214</v>
      </c>
      <c r="AS19" s="16">
        <f t="shared" si="4"/>
        <v>86869</v>
      </c>
      <c r="AT19" s="4">
        <f t="shared" si="4"/>
        <v>80605</v>
      </c>
      <c r="AU19" s="16">
        <f t="shared" si="4"/>
        <v>80337</v>
      </c>
      <c r="AV19" s="4">
        <f t="shared" si="4"/>
        <v>78373</v>
      </c>
      <c r="AW19" s="16">
        <f t="shared" si="4"/>
        <v>75041</v>
      </c>
      <c r="AX19" s="15">
        <f t="shared" si="4"/>
        <v>72275</v>
      </c>
      <c r="AY19" s="16">
        <f t="shared" si="4"/>
        <v>71027</v>
      </c>
      <c r="AZ19" s="15">
        <v>70705</v>
      </c>
      <c r="BA19" s="16">
        <v>70323</v>
      </c>
      <c r="BB19" s="4">
        <v>72206</v>
      </c>
      <c r="BC19" s="5">
        <v>71023</v>
      </c>
      <c r="BD19" s="4">
        <v>67994</v>
      </c>
      <c r="BE19" s="5">
        <v>67360</v>
      </c>
      <c r="BF19" s="4">
        <v>67481</v>
      </c>
      <c r="BG19" s="5">
        <v>68949</v>
      </c>
      <c r="BH19" s="4">
        <v>68130</v>
      </c>
      <c r="BI19" s="5">
        <v>71590</v>
      </c>
      <c r="BJ19" s="4">
        <v>74354</v>
      </c>
      <c r="BK19" s="5">
        <v>74428</v>
      </c>
      <c r="BL19" s="4">
        <v>44928</v>
      </c>
      <c r="BM19" s="5">
        <v>44461</v>
      </c>
      <c r="BN19" s="4">
        <v>43096</v>
      </c>
      <c r="BO19" s="5">
        <v>42039</v>
      </c>
      <c r="BP19" s="4">
        <v>44251</v>
      </c>
      <c r="BQ19" s="5">
        <v>44776</v>
      </c>
      <c r="BR19" s="4">
        <v>45290</v>
      </c>
      <c r="BS19" s="5">
        <v>45011</v>
      </c>
    </row>
    <row r="20" spans="2:71" ht="12.75">
      <c r="B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ht="12.75">
      <c r="B21" s="2" t="s">
        <v>163</v>
      </c>
      <c r="C21" s="82" t="s">
        <v>196</v>
      </c>
      <c r="D21" s="82"/>
      <c r="E21" s="82"/>
      <c r="F21" s="8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45"/>
  <sheetViews>
    <sheetView showGridLines="0" zoomScalePageLayoutView="0" workbookViewId="0" topLeftCell="A1">
      <selection activeCell="D8" sqref="D8"/>
    </sheetView>
  </sheetViews>
  <sheetFormatPr defaultColWidth="8.8515625" defaultRowHeight="12.75"/>
  <cols>
    <col min="1" max="1" width="8.8515625" style="0" customWidth="1"/>
    <col min="2" max="2" width="43.421875" style="0" customWidth="1"/>
    <col min="3" max="3" width="44.00390625" style="0" customWidth="1"/>
    <col min="4" max="4" width="10.8515625" style="0" customWidth="1"/>
  </cols>
  <sheetData>
    <row r="1" spans="2:16" s="2" customFormat="1" ht="18">
      <c r="B1" s="29" t="s">
        <v>169</v>
      </c>
      <c r="C1" s="29" t="s">
        <v>298</v>
      </c>
      <c r="D1" s="29"/>
      <c r="E1" s="29"/>
      <c r="F1" s="29"/>
      <c r="G1" s="15"/>
      <c r="H1" s="29"/>
      <c r="I1" s="15"/>
      <c r="J1" s="15"/>
      <c r="K1" s="15"/>
      <c r="L1" s="15"/>
      <c r="M1" s="15"/>
      <c r="N1" s="15"/>
      <c r="O1" s="15"/>
      <c r="P1" s="15"/>
    </row>
    <row r="2" spans="7:25" s="2" customFormat="1" ht="12.75">
      <c r="G2" s="15"/>
      <c r="I2" s="15"/>
      <c r="J2" s="15"/>
      <c r="K2" s="15"/>
      <c r="L2" s="15"/>
      <c r="M2" s="15"/>
      <c r="N2" s="15"/>
      <c r="O2" s="15"/>
      <c r="P2" s="15"/>
      <c r="X2" s="23"/>
      <c r="Y2" s="23"/>
    </row>
    <row r="3" spans="2:20" ht="15">
      <c r="B3" s="19" t="s">
        <v>513</v>
      </c>
      <c r="C3" s="1" t="s">
        <v>201</v>
      </c>
      <c r="D3" s="58" t="s">
        <v>490</v>
      </c>
      <c r="E3" s="158" t="s">
        <v>472</v>
      </c>
      <c r="F3" s="58" t="s">
        <v>300</v>
      </c>
      <c r="G3" s="58" t="s">
        <v>173</v>
      </c>
      <c r="H3" s="58" t="s">
        <v>159</v>
      </c>
      <c r="I3" s="58" t="s">
        <v>149</v>
      </c>
      <c r="J3" s="58" t="s">
        <v>127</v>
      </c>
      <c r="K3" s="58" t="s">
        <v>119</v>
      </c>
      <c r="L3" s="58" t="s">
        <v>113</v>
      </c>
      <c r="M3" s="58" t="s">
        <v>107</v>
      </c>
      <c r="N3" s="1">
        <v>991231</v>
      </c>
      <c r="O3" s="19">
        <v>981231</v>
      </c>
      <c r="P3" s="1">
        <v>971231</v>
      </c>
      <c r="Q3" s="1">
        <v>961231</v>
      </c>
      <c r="R3" s="1">
        <v>951231</v>
      </c>
      <c r="S3" s="1">
        <v>941231</v>
      </c>
      <c r="T3" s="1">
        <v>931231</v>
      </c>
    </row>
    <row r="4" spans="1:20" ht="15">
      <c r="A4" t="s">
        <v>171</v>
      </c>
      <c r="B4" s="20" t="s">
        <v>512</v>
      </c>
      <c r="C4" s="20" t="s">
        <v>202</v>
      </c>
      <c r="D4" s="171">
        <v>15733</v>
      </c>
      <c r="E4" s="75">
        <v>13869</v>
      </c>
      <c r="F4" s="171">
        <v>15286</v>
      </c>
      <c r="G4" s="168">
        <v>14123</v>
      </c>
      <c r="H4" s="171">
        <v>13113</v>
      </c>
      <c r="I4" s="168">
        <v>14108</v>
      </c>
      <c r="J4" s="171">
        <v>13508</v>
      </c>
      <c r="K4" s="168">
        <v>15245</v>
      </c>
      <c r="L4" s="171">
        <v>15410</v>
      </c>
      <c r="M4" s="168">
        <v>12383</v>
      </c>
      <c r="N4" s="171">
        <v>11101</v>
      </c>
      <c r="O4" s="195">
        <v>9960</v>
      </c>
      <c r="P4" s="171">
        <v>9462</v>
      </c>
      <c r="Q4" s="168">
        <v>8124</v>
      </c>
      <c r="R4" s="171">
        <v>10459</v>
      </c>
      <c r="S4" s="160">
        <v>3578</v>
      </c>
      <c r="T4" s="171">
        <v>4081</v>
      </c>
    </row>
    <row r="5" spans="2:20" ht="12.75">
      <c r="B5" s="20" t="s">
        <v>14</v>
      </c>
      <c r="C5" s="20" t="s">
        <v>203</v>
      </c>
      <c r="D5" s="171">
        <v>3307</v>
      </c>
      <c r="E5" s="75">
        <v>-19</v>
      </c>
      <c r="F5" s="171">
        <v>-1299</v>
      </c>
      <c r="G5" s="168">
        <v>-794</v>
      </c>
      <c r="H5" s="171">
        <v>238</v>
      </c>
      <c r="I5" s="168">
        <v>-646</v>
      </c>
      <c r="J5" s="171">
        <v>737</v>
      </c>
      <c r="K5" s="168">
        <v>903</v>
      </c>
      <c r="L5" s="171">
        <v>2467</v>
      </c>
      <c r="M5" s="168">
        <v>-1109</v>
      </c>
      <c r="N5" s="171">
        <v>-226</v>
      </c>
      <c r="O5" s="195">
        <v>-932</v>
      </c>
      <c r="P5" s="171">
        <v>-533</v>
      </c>
      <c r="Q5" s="168">
        <v>668</v>
      </c>
      <c r="R5" s="171">
        <v>-231</v>
      </c>
      <c r="S5" s="160">
        <v>-681</v>
      </c>
      <c r="T5" s="171">
        <v>368</v>
      </c>
    </row>
    <row r="6" spans="1:20" ht="12.75">
      <c r="A6" t="s">
        <v>171</v>
      </c>
      <c r="B6" s="23" t="s">
        <v>15</v>
      </c>
      <c r="C6" s="23" t="s">
        <v>204</v>
      </c>
      <c r="D6" s="171">
        <v>-4037</v>
      </c>
      <c r="E6" s="75">
        <v>-5353</v>
      </c>
      <c r="F6" s="171">
        <v>-5165</v>
      </c>
      <c r="G6" s="168">
        <v>-5672</v>
      </c>
      <c r="H6" s="171">
        <v>-4859</v>
      </c>
      <c r="I6" s="168">
        <v>-4270</v>
      </c>
      <c r="J6" s="171">
        <v>-3902</v>
      </c>
      <c r="K6" s="168">
        <v>-3523</v>
      </c>
      <c r="L6" s="171">
        <v>-3479</v>
      </c>
      <c r="M6" s="168">
        <v>-2245</v>
      </c>
      <c r="N6" s="171">
        <v>-2046</v>
      </c>
      <c r="O6" s="195">
        <v>-2058</v>
      </c>
      <c r="P6" s="171">
        <v>-2207</v>
      </c>
      <c r="Q6" s="168">
        <v>-2489</v>
      </c>
      <c r="R6" s="171">
        <v>-2927</v>
      </c>
      <c r="S6" s="160">
        <v>-1377</v>
      </c>
      <c r="T6" s="171">
        <v>-1479</v>
      </c>
    </row>
    <row r="7" spans="2:20" ht="12.75">
      <c r="B7" s="20" t="s">
        <v>16</v>
      </c>
      <c r="C7" s="20" t="s">
        <v>205</v>
      </c>
      <c r="D7" s="171">
        <v>-870</v>
      </c>
      <c r="E7" s="75">
        <v>-684</v>
      </c>
      <c r="F7" s="171">
        <v>-695</v>
      </c>
      <c r="G7" s="168">
        <v>-1353</v>
      </c>
      <c r="H7" s="171">
        <v>-1021</v>
      </c>
      <c r="I7" s="168">
        <v>-355</v>
      </c>
      <c r="J7" s="171">
        <v>-241</v>
      </c>
      <c r="K7" s="168">
        <v>-204</v>
      </c>
      <c r="L7" s="171">
        <v>-192</v>
      </c>
      <c r="M7" s="168">
        <v>-24</v>
      </c>
      <c r="N7" s="171">
        <v>-122</v>
      </c>
      <c r="O7" s="195">
        <v>-291</v>
      </c>
      <c r="P7" s="171">
        <v>-91</v>
      </c>
      <c r="Q7" s="168">
        <v>-474</v>
      </c>
      <c r="R7" s="171">
        <v>-715</v>
      </c>
      <c r="S7" s="160">
        <v>902</v>
      </c>
      <c r="T7" s="171">
        <v>-281</v>
      </c>
    </row>
    <row r="8" spans="1:20" ht="12.75">
      <c r="A8" t="s">
        <v>171</v>
      </c>
      <c r="B8" s="21" t="s">
        <v>17</v>
      </c>
      <c r="C8" s="21" t="s">
        <v>206</v>
      </c>
      <c r="D8" s="172">
        <f aca="true" t="shared" si="0" ref="D8:T8">SUM(D4:D7)</f>
        <v>14133</v>
      </c>
      <c r="E8" s="173">
        <f t="shared" si="0"/>
        <v>7813</v>
      </c>
      <c r="F8" s="172">
        <f t="shared" si="0"/>
        <v>8127</v>
      </c>
      <c r="G8" s="173">
        <f t="shared" si="0"/>
        <v>6304</v>
      </c>
      <c r="H8" s="172">
        <f t="shared" si="0"/>
        <v>7471</v>
      </c>
      <c r="I8" s="193">
        <f t="shared" si="0"/>
        <v>8837</v>
      </c>
      <c r="J8" s="172">
        <f t="shared" si="0"/>
        <v>10102</v>
      </c>
      <c r="K8" s="193">
        <f t="shared" si="0"/>
        <v>12421</v>
      </c>
      <c r="L8" s="172">
        <f t="shared" si="0"/>
        <v>14206</v>
      </c>
      <c r="M8" s="193">
        <f t="shared" si="0"/>
        <v>9005</v>
      </c>
      <c r="N8" s="172">
        <f t="shared" si="0"/>
        <v>8707</v>
      </c>
      <c r="O8" s="173">
        <f t="shared" si="0"/>
        <v>6679</v>
      </c>
      <c r="P8" s="172">
        <f t="shared" si="0"/>
        <v>6631</v>
      </c>
      <c r="Q8" s="193">
        <f t="shared" si="0"/>
        <v>5829</v>
      </c>
      <c r="R8" s="172">
        <f t="shared" si="0"/>
        <v>6586</v>
      </c>
      <c r="S8" s="197">
        <f t="shared" si="0"/>
        <v>2422</v>
      </c>
      <c r="T8" s="172">
        <f t="shared" si="0"/>
        <v>2689</v>
      </c>
    </row>
    <row r="9" spans="2:20" ht="12.75">
      <c r="B9" s="20"/>
      <c r="C9" s="20"/>
      <c r="D9" s="171"/>
      <c r="E9" s="75"/>
      <c r="F9" s="171"/>
      <c r="G9" s="168"/>
      <c r="H9" s="171"/>
      <c r="I9" s="168"/>
      <c r="J9" s="171"/>
      <c r="K9" s="168"/>
      <c r="L9" s="171"/>
      <c r="M9" s="168"/>
      <c r="N9" s="171"/>
      <c r="O9" s="195"/>
      <c r="P9" s="171"/>
      <c r="Q9" s="168"/>
      <c r="R9" s="171"/>
      <c r="S9" s="160"/>
      <c r="T9" s="171"/>
    </row>
    <row r="10" spans="2:20" ht="12.75">
      <c r="B10" s="20" t="s">
        <v>1</v>
      </c>
      <c r="C10" s="20" t="s">
        <v>178</v>
      </c>
      <c r="D10" s="171">
        <v>-1644</v>
      </c>
      <c r="E10" s="75">
        <v>-2317</v>
      </c>
      <c r="F10" s="171">
        <v>-1910</v>
      </c>
      <c r="G10" s="168">
        <v>-1672</v>
      </c>
      <c r="H10" s="171">
        <v>-1495</v>
      </c>
      <c r="I10" s="168">
        <v>-1084</v>
      </c>
      <c r="J10" s="171">
        <v>-790</v>
      </c>
      <c r="K10" s="168">
        <v>-1023</v>
      </c>
      <c r="L10" s="171">
        <v>-1402</v>
      </c>
      <c r="M10" s="168">
        <v>-1207</v>
      </c>
      <c r="N10" s="171">
        <v>-1212</v>
      </c>
      <c r="O10" s="195">
        <v>-1259</v>
      </c>
      <c r="P10" s="171">
        <v>-1111</v>
      </c>
      <c r="Q10" s="168">
        <v>-1008</v>
      </c>
      <c r="R10" s="171">
        <v>-1619</v>
      </c>
      <c r="S10" s="160">
        <v>-750</v>
      </c>
      <c r="T10" s="171">
        <v>-962</v>
      </c>
    </row>
    <row r="11" spans="2:20" ht="12.75">
      <c r="B11" s="20" t="s">
        <v>18</v>
      </c>
      <c r="C11" s="83" t="s">
        <v>207</v>
      </c>
      <c r="D11" s="171">
        <v>-1003</v>
      </c>
      <c r="E11" s="75">
        <v>-1702</v>
      </c>
      <c r="F11" s="171">
        <v>-1719</v>
      </c>
      <c r="G11" s="168">
        <v>-1770</v>
      </c>
      <c r="H11" s="171">
        <v>-1629</v>
      </c>
      <c r="I11" s="168">
        <v>-2088</v>
      </c>
      <c r="J11" s="171">
        <v>-1151</v>
      </c>
      <c r="K11" s="168">
        <v>-2629</v>
      </c>
      <c r="L11" s="171">
        <v>-1722</v>
      </c>
      <c r="M11" s="168">
        <v>-993</v>
      </c>
      <c r="N11" s="171">
        <v>-951</v>
      </c>
      <c r="O11" s="195">
        <v>-1279</v>
      </c>
      <c r="P11" s="171">
        <v>-731</v>
      </c>
      <c r="Q11" s="168">
        <v>-659</v>
      </c>
      <c r="R11" s="171">
        <v>-303</v>
      </c>
      <c r="S11" s="160">
        <v>-163</v>
      </c>
      <c r="T11" s="171">
        <v>-385</v>
      </c>
    </row>
    <row r="12" spans="2:20" ht="12.75">
      <c r="B12" s="20" t="s">
        <v>19</v>
      </c>
      <c r="C12" s="20" t="s">
        <v>208</v>
      </c>
      <c r="D12" s="171">
        <v>4</v>
      </c>
      <c r="E12" s="75">
        <v>16</v>
      </c>
      <c r="F12" s="171">
        <v>10</v>
      </c>
      <c r="G12" s="168">
        <v>-90</v>
      </c>
      <c r="H12" s="171">
        <v>15</v>
      </c>
      <c r="I12" s="168">
        <v>23</v>
      </c>
      <c r="J12" s="171">
        <v>-27</v>
      </c>
      <c r="K12" s="168">
        <v>-149</v>
      </c>
      <c r="L12" s="171">
        <v>167</v>
      </c>
      <c r="M12" s="168">
        <v>-153</v>
      </c>
      <c r="N12" s="171">
        <v>196</v>
      </c>
      <c r="O12" s="195">
        <v>-266</v>
      </c>
      <c r="P12" s="171">
        <v>61</v>
      </c>
      <c r="Q12" s="168">
        <v>48</v>
      </c>
      <c r="R12" s="171">
        <v>279</v>
      </c>
      <c r="S12" s="160">
        <v>-335</v>
      </c>
      <c r="T12" s="171">
        <v>-29</v>
      </c>
    </row>
    <row r="13" spans="1:20" ht="12.75">
      <c r="A13" t="s">
        <v>171</v>
      </c>
      <c r="B13" s="21" t="s">
        <v>20</v>
      </c>
      <c r="C13" s="21" t="s">
        <v>209</v>
      </c>
      <c r="D13" s="172">
        <f>SUM(D8:D12)</f>
        <v>11490</v>
      </c>
      <c r="E13" s="173">
        <f>SUM(E8:E12)</f>
        <v>3810</v>
      </c>
      <c r="F13" s="172">
        <f>SUM(F8:F12)</f>
        <v>4508</v>
      </c>
      <c r="G13" s="173">
        <f>SUM(G8:G12)</f>
        <v>2772</v>
      </c>
      <c r="H13" s="172">
        <f aca="true" t="shared" si="1" ref="H13:T13">SUM(H8:H12)</f>
        <v>4362</v>
      </c>
      <c r="I13" s="193">
        <f t="shared" si="1"/>
        <v>5688</v>
      </c>
      <c r="J13" s="172">
        <f t="shared" si="1"/>
        <v>8134</v>
      </c>
      <c r="K13" s="193">
        <f t="shared" si="1"/>
        <v>8620</v>
      </c>
      <c r="L13" s="172">
        <f t="shared" si="1"/>
        <v>11249</v>
      </c>
      <c r="M13" s="193">
        <f t="shared" si="1"/>
        <v>6652</v>
      </c>
      <c r="N13" s="172">
        <f t="shared" si="1"/>
        <v>6740</v>
      </c>
      <c r="O13" s="173">
        <f t="shared" si="1"/>
        <v>3875</v>
      </c>
      <c r="P13" s="172">
        <f t="shared" si="1"/>
        <v>4850</v>
      </c>
      <c r="Q13" s="193">
        <f t="shared" si="1"/>
        <v>4210</v>
      </c>
      <c r="R13" s="172">
        <f t="shared" si="1"/>
        <v>4943</v>
      </c>
      <c r="S13" s="197">
        <f t="shared" si="1"/>
        <v>1174</v>
      </c>
      <c r="T13" s="172">
        <f t="shared" si="1"/>
        <v>1313</v>
      </c>
    </row>
    <row r="14" spans="2:20" ht="12.75">
      <c r="B14" s="20"/>
      <c r="C14" s="20"/>
      <c r="D14" s="171"/>
      <c r="E14" s="75"/>
      <c r="F14" s="171"/>
      <c r="G14" s="168"/>
      <c r="H14" s="171"/>
      <c r="I14" s="168"/>
      <c r="J14" s="171"/>
      <c r="K14" s="168"/>
      <c r="L14" s="171"/>
      <c r="M14" s="168"/>
      <c r="N14" s="171"/>
      <c r="O14" s="105"/>
      <c r="P14" s="171"/>
      <c r="Q14" s="168"/>
      <c r="R14" s="171"/>
      <c r="S14" s="160"/>
      <c r="T14" s="171"/>
    </row>
    <row r="15" spans="1:20" ht="15">
      <c r="A15" t="s">
        <v>171</v>
      </c>
      <c r="B15" s="20" t="s">
        <v>511</v>
      </c>
      <c r="C15" s="20" t="s">
        <v>210</v>
      </c>
      <c r="D15" s="171">
        <v>-3031</v>
      </c>
      <c r="E15" s="75">
        <v>-3109</v>
      </c>
      <c r="F15" s="171">
        <v>-1342</v>
      </c>
      <c r="G15" s="168">
        <f>-935-24</f>
        <v>-959</v>
      </c>
      <c r="H15" s="171">
        <f>-2086-81</f>
        <v>-2167</v>
      </c>
      <c r="I15" s="168">
        <v>-2624</v>
      </c>
      <c r="J15" s="171">
        <f>-2949-437</f>
        <v>-3386</v>
      </c>
      <c r="K15" s="168">
        <f>-2823-574</f>
        <v>-3397</v>
      </c>
      <c r="L15" s="171">
        <f>-1469-767</f>
        <v>-2236</v>
      </c>
      <c r="M15" s="168">
        <f>-1121-331</f>
        <v>-1452</v>
      </c>
      <c r="N15" s="171">
        <v>-2985</v>
      </c>
      <c r="O15" s="105">
        <v>-2248</v>
      </c>
      <c r="P15" s="171">
        <v>-983</v>
      </c>
      <c r="Q15" s="168">
        <v>-1126</v>
      </c>
      <c r="R15" s="171">
        <v>-1849</v>
      </c>
      <c r="S15" s="160">
        <v>-1599</v>
      </c>
      <c r="T15" s="171">
        <v>-74</v>
      </c>
    </row>
    <row r="16" spans="1:20" ht="12.75">
      <c r="A16" t="s">
        <v>171</v>
      </c>
      <c r="B16" s="20" t="s">
        <v>22</v>
      </c>
      <c r="C16" s="20" t="s">
        <v>211</v>
      </c>
      <c r="D16" s="171">
        <v>-51</v>
      </c>
      <c r="E16" s="75">
        <v>-1764</v>
      </c>
      <c r="F16" s="171">
        <v>-4545</v>
      </c>
      <c r="G16" s="168">
        <v>-323</v>
      </c>
      <c r="H16" s="171">
        <v>-428</v>
      </c>
      <c r="I16" s="168">
        <v>-9340</v>
      </c>
      <c r="J16" s="171">
        <v>-4808</v>
      </c>
      <c r="K16" s="168">
        <v>-6483</v>
      </c>
      <c r="L16" s="171">
        <v>-13286</v>
      </c>
      <c r="M16" s="168">
        <v>-2349</v>
      </c>
      <c r="N16" s="171">
        <v>-10400</v>
      </c>
      <c r="O16" s="105">
        <v>-2793</v>
      </c>
      <c r="P16" s="171">
        <v>-3431</v>
      </c>
      <c r="Q16" s="168">
        <v>-1558</v>
      </c>
      <c r="R16" s="171">
        <v>-7698</v>
      </c>
      <c r="S16" s="160">
        <v>-821</v>
      </c>
      <c r="T16" s="171">
        <v>-520</v>
      </c>
    </row>
    <row r="17" spans="2:20" ht="12.75">
      <c r="B17" s="20" t="s">
        <v>23</v>
      </c>
      <c r="C17" s="20" t="s">
        <v>212</v>
      </c>
      <c r="D17" s="171">
        <v>75</v>
      </c>
      <c r="E17" s="75">
        <v>1140</v>
      </c>
      <c r="F17" s="171">
        <v>2852</v>
      </c>
      <c r="G17" s="168">
        <v>48</v>
      </c>
      <c r="H17" s="171">
        <v>1</v>
      </c>
      <c r="I17" s="168">
        <v>0</v>
      </c>
      <c r="J17" s="171">
        <v>961</v>
      </c>
      <c r="K17" s="168">
        <v>405</v>
      </c>
      <c r="L17" s="171">
        <v>19</v>
      </c>
      <c r="M17" s="168">
        <v>7758</v>
      </c>
      <c r="N17" s="171">
        <v>2885</v>
      </c>
      <c r="O17" s="105">
        <v>1511</v>
      </c>
      <c r="P17" s="171">
        <v>46</v>
      </c>
      <c r="Q17" s="168">
        <v>480</v>
      </c>
      <c r="R17" s="171">
        <v>931</v>
      </c>
      <c r="S17" s="160">
        <v>1750</v>
      </c>
      <c r="T17" s="171">
        <v>1566</v>
      </c>
    </row>
    <row r="18" spans="1:20" ht="12.75">
      <c r="A18" t="s">
        <v>171</v>
      </c>
      <c r="B18" s="21" t="s">
        <v>24</v>
      </c>
      <c r="C18" s="21" t="s">
        <v>213</v>
      </c>
      <c r="D18" s="172">
        <f aca="true" t="shared" si="2" ref="D18:T18">SUM(D13:D17)</f>
        <v>8483</v>
      </c>
      <c r="E18" s="173">
        <f t="shared" si="2"/>
        <v>77</v>
      </c>
      <c r="F18" s="172">
        <f t="shared" si="2"/>
        <v>1473</v>
      </c>
      <c r="G18" s="173">
        <f t="shared" si="2"/>
        <v>1538</v>
      </c>
      <c r="H18" s="172">
        <f t="shared" si="2"/>
        <v>1768</v>
      </c>
      <c r="I18" s="193">
        <f t="shared" si="2"/>
        <v>-6276</v>
      </c>
      <c r="J18" s="172">
        <f t="shared" si="2"/>
        <v>901</v>
      </c>
      <c r="K18" s="193">
        <f t="shared" si="2"/>
        <v>-855</v>
      </c>
      <c r="L18" s="172">
        <f t="shared" si="2"/>
        <v>-4254</v>
      </c>
      <c r="M18" s="193">
        <f t="shared" si="2"/>
        <v>10609</v>
      </c>
      <c r="N18" s="172">
        <f t="shared" si="2"/>
        <v>-3760</v>
      </c>
      <c r="O18" s="173">
        <f t="shared" si="2"/>
        <v>345</v>
      </c>
      <c r="P18" s="172">
        <f t="shared" si="2"/>
        <v>482</v>
      </c>
      <c r="Q18" s="193">
        <f t="shared" si="2"/>
        <v>2006</v>
      </c>
      <c r="R18" s="172">
        <f t="shared" si="2"/>
        <v>-3673</v>
      </c>
      <c r="S18" s="197">
        <f t="shared" si="2"/>
        <v>504</v>
      </c>
      <c r="T18" s="172">
        <f t="shared" si="2"/>
        <v>2285</v>
      </c>
    </row>
    <row r="19" spans="2:20" ht="12.75">
      <c r="B19" s="20"/>
      <c r="C19" s="20"/>
      <c r="D19" s="171"/>
      <c r="E19" s="75"/>
      <c r="F19" s="171"/>
      <c r="G19" s="168"/>
      <c r="H19" s="171"/>
      <c r="I19" s="168"/>
      <c r="J19" s="171"/>
      <c r="K19" s="168"/>
      <c r="L19" s="171"/>
      <c r="M19" s="168"/>
      <c r="N19" s="171"/>
      <c r="O19" s="105"/>
      <c r="P19" s="171"/>
      <c r="Q19" s="168"/>
      <c r="R19" s="171"/>
      <c r="S19" s="160"/>
      <c r="T19" s="171"/>
    </row>
    <row r="20" spans="2:20" ht="12.75">
      <c r="B20" s="20" t="s">
        <v>25</v>
      </c>
      <c r="C20" s="20" t="s">
        <v>214</v>
      </c>
      <c r="D20" s="123" t="s">
        <v>39</v>
      </c>
      <c r="E20" s="129" t="s">
        <v>39</v>
      </c>
      <c r="F20" s="123" t="s">
        <v>39</v>
      </c>
      <c r="G20" s="126" t="s">
        <v>39</v>
      </c>
      <c r="H20" s="123"/>
      <c r="I20" s="126" t="s">
        <v>39</v>
      </c>
      <c r="J20" s="123" t="s">
        <v>39</v>
      </c>
      <c r="K20" s="126" t="s">
        <v>39</v>
      </c>
      <c r="L20" s="171"/>
      <c r="M20" s="126" t="s">
        <v>39</v>
      </c>
      <c r="N20" s="171">
        <v>4579</v>
      </c>
      <c r="O20" s="177" t="s">
        <v>39</v>
      </c>
      <c r="P20" s="123" t="s">
        <v>39</v>
      </c>
      <c r="Q20" s="126" t="s">
        <v>39</v>
      </c>
      <c r="R20" s="123" t="s">
        <v>39</v>
      </c>
      <c r="S20" s="96" t="s">
        <v>39</v>
      </c>
      <c r="T20" s="171">
        <v>1372</v>
      </c>
    </row>
    <row r="21" spans="2:20" ht="12.75">
      <c r="B21" s="20" t="s">
        <v>105</v>
      </c>
      <c r="C21" s="24" t="s">
        <v>215</v>
      </c>
      <c r="D21" s="123"/>
      <c r="E21" s="129">
        <v>28</v>
      </c>
      <c r="F21" s="123">
        <v>55</v>
      </c>
      <c r="G21" s="126">
        <v>79</v>
      </c>
      <c r="H21" s="123">
        <v>13</v>
      </c>
      <c r="I21" s="126">
        <v>16</v>
      </c>
      <c r="J21" s="123">
        <f>723+16</f>
        <v>739</v>
      </c>
      <c r="K21" s="126">
        <v>5</v>
      </c>
      <c r="L21" s="123"/>
      <c r="M21" s="126">
        <v>15</v>
      </c>
      <c r="N21" s="123" t="s">
        <v>39</v>
      </c>
      <c r="O21" s="177" t="s">
        <v>39</v>
      </c>
      <c r="P21" s="123" t="s">
        <v>39</v>
      </c>
      <c r="Q21" s="126" t="s">
        <v>39</v>
      </c>
      <c r="R21" s="123" t="s">
        <v>39</v>
      </c>
      <c r="S21" s="96" t="s">
        <v>39</v>
      </c>
      <c r="T21" s="171">
        <v>109</v>
      </c>
    </row>
    <row r="22" spans="2:20" ht="12.75">
      <c r="B22" s="20" t="s">
        <v>26</v>
      </c>
      <c r="C22" s="20" t="s">
        <v>216</v>
      </c>
      <c r="D22" s="171">
        <v>-2498</v>
      </c>
      <c r="E22" s="75">
        <v>-3128</v>
      </c>
      <c r="F22" s="171">
        <v>-2939</v>
      </c>
      <c r="G22" s="168">
        <v>-2625</v>
      </c>
      <c r="H22" s="171">
        <v>-2478</v>
      </c>
      <c r="I22" s="168">
        <v>-2471</v>
      </c>
      <c r="J22" s="171">
        <v>-2235</v>
      </c>
      <c r="K22" s="168">
        <v>-2036</v>
      </c>
      <c r="L22" s="171">
        <v>-1806</v>
      </c>
      <c r="M22" s="168">
        <v>-1585</v>
      </c>
      <c r="N22" s="171">
        <v>-1304</v>
      </c>
      <c r="O22" s="105">
        <v>-1145</v>
      </c>
      <c r="P22" s="171">
        <v>-1092</v>
      </c>
      <c r="Q22" s="168">
        <v>-994</v>
      </c>
      <c r="R22" s="171">
        <v>-727</v>
      </c>
      <c r="S22" s="160">
        <v>-659</v>
      </c>
      <c r="T22" s="171">
        <v>-557</v>
      </c>
    </row>
    <row r="23" spans="1:20" ht="12.75">
      <c r="A23" t="s">
        <v>171</v>
      </c>
      <c r="B23" s="21" t="s">
        <v>27</v>
      </c>
      <c r="C23" s="21" t="s">
        <v>217</v>
      </c>
      <c r="D23" s="172">
        <f>D18+D21+D22</f>
        <v>5985</v>
      </c>
      <c r="E23" s="173">
        <f>E18+E21+E22</f>
        <v>-3023</v>
      </c>
      <c r="F23" s="172">
        <f>F18+F21+F22</f>
        <v>-1411</v>
      </c>
      <c r="G23" s="193">
        <v>-1008</v>
      </c>
      <c r="H23" s="172">
        <f aca="true" t="shared" si="3" ref="H23:T23">SUM(H18:H22)</f>
        <v>-697</v>
      </c>
      <c r="I23" s="193">
        <f t="shared" si="3"/>
        <v>-8731</v>
      </c>
      <c r="J23" s="172">
        <f t="shared" si="3"/>
        <v>-595</v>
      </c>
      <c r="K23" s="193">
        <f t="shared" si="3"/>
        <v>-2886</v>
      </c>
      <c r="L23" s="172">
        <f t="shared" si="3"/>
        <v>-6060</v>
      </c>
      <c r="M23" s="193">
        <f t="shared" si="3"/>
        <v>9039</v>
      </c>
      <c r="N23" s="172">
        <f t="shared" si="3"/>
        <v>-485</v>
      </c>
      <c r="O23" s="173">
        <f t="shared" si="3"/>
        <v>-800</v>
      </c>
      <c r="P23" s="172">
        <f t="shared" si="3"/>
        <v>-610</v>
      </c>
      <c r="Q23" s="193">
        <f t="shared" si="3"/>
        <v>1012</v>
      </c>
      <c r="R23" s="172">
        <f t="shared" si="3"/>
        <v>-4400</v>
      </c>
      <c r="S23" s="197">
        <f t="shared" si="3"/>
        <v>-155</v>
      </c>
      <c r="T23" s="172">
        <f t="shared" si="3"/>
        <v>3209</v>
      </c>
    </row>
    <row r="24" spans="2:20" ht="12.75"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1"/>
      <c r="P24" s="22"/>
      <c r="Q24" s="22"/>
      <c r="R24" s="7"/>
      <c r="S24" s="7"/>
      <c r="T24" s="7"/>
    </row>
    <row r="25" spans="2:20" ht="12.75"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2"/>
      <c r="Q25" s="22"/>
      <c r="R25" s="7"/>
      <c r="S25" s="7"/>
      <c r="T25" s="7"/>
    </row>
    <row r="26" spans="2:20" ht="12.75">
      <c r="B26" s="19" t="s">
        <v>28</v>
      </c>
      <c r="C26" s="1" t="s">
        <v>218</v>
      </c>
      <c r="D26" s="58" t="str">
        <f aca="true" t="shared" si="4" ref="D26:J26">D3</f>
        <v>091231</v>
      </c>
      <c r="E26" s="58" t="str">
        <f t="shared" si="4"/>
        <v>081231</v>
      </c>
      <c r="F26" s="58" t="str">
        <f t="shared" si="4"/>
        <v>071231</v>
      </c>
      <c r="G26" s="58" t="str">
        <f t="shared" si="4"/>
        <v>061231</v>
      </c>
      <c r="H26" s="58" t="str">
        <f t="shared" si="4"/>
        <v>051231</v>
      </c>
      <c r="I26" s="58" t="str">
        <f t="shared" si="4"/>
        <v>041231</v>
      </c>
      <c r="J26" s="58" t="str">
        <f t="shared" si="4"/>
        <v>031231</v>
      </c>
      <c r="K26" s="58" t="s">
        <v>119</v>
      </c>
      <c r="L26" s="58" t="s">
        <v>113</v>
      </c>
      <c r="M26" s="58" t="s">
        <v>107</v>
      </c>
      <c r="N26" s="1">
        <v>991231</v>
      </c>
      <c r="O26" s="19">
        <v>981231</v>
      </c>
      <c r="P26" s="1">
        <v>971231</v>
      </c>
      <c r="Q26" s="1">
        <v>961231</v>
      </c>
      <c r="R26" s="1">
        <v>951231</v>
      </c>
      <c r="S26" s="1">
        <v>941231</v>
      </c>
      <c r="T26" s="1">
        <v>931231</v>
      </c>
    </row>
    <row r="27" spans="2:20" ht="12.75">
      <c r="B27" s="26" t="s">
        <v>29</v>
      </c>
      <c r="C27" s="26" t="s">
        <v>219</v>
      </c>
      <c r="D27" s="170">
        <f>E36</f>
        <v>-47002</v>
      </c>
      <c r="E27" s="173">
        <v>-37368</v>
      </c>
      <c r="F27" s="172">
        <v>-36399</v>
      </c>
      <c r="G27" s="193">
        <v>-39826</v>
      </c>
      <c r="H27" s="172">
        <v>-35823</v>
      </c>
      <c r="I27" s="193">
        <v>-26533</v>
      </c>
      <c r="J27" s="172">
        <v>-23899</v>
      </c>
      <c r="K27" s="193">
        <v>-23861</v>
      </c>
      <c r="L27" s="172">
        <v>-15880</v>
      </c>
      <c r="M27" s="193">
        <v>-24073</v>
      </c>
      <c r="N27" s="172">
        <v>-21370</v>
      </c>
      <c r="O27" s="198">
        <v>-19018</v>
      </c>
      <c r="P27" s="172">
        <v>-17462</v>
      </c>
      <c r="Q27" s="193">
        <v>-17566</v>
      </c>
      <c r="R27" s="172">
        <v>-10573</v>
      </c>
      <c r="S27" s="197">
        <v>-10814</v>
      </c>
      <c r="T27" s="172">
        <v>-10799</v>
      </c>
    </row>
    <row r="28" spans="2:20" ht="12.75">
      <c r="B28" s="24" t="s">
        <v>27</v>
      </c>
      <c r="C28" s="24" t="s">
        <v>217</v>
      </c>
      <c r="D28" s="171">
        <v>5985</v>
      </c>
      <c r="E28" s="185">
        <f>E23</f>
        <v>-3023</v>
      </c>
      <c r="F28" s="186">
        <f>F23</f>
        <v>-1411</v>
      </c>
      <c r="G28" s="185">
        <f>G23</f>
        <v>-1008</v>
      </c>
      <c r="H28" s="186">
        <f>H23</f>
        <v>-697</v>
      </c>
      <c r="I28" s="194">
        <f>I23</f>
        <v>-8731</v>
      </c>
      <c r="J28" s="186">
        <v>-595</v>
      </c>
      <c r="K28" s="194">
        <v>-2886</v>
      </c>
      <c r="L28" s="186">
        <v>-6060</v>
      </c>
      <c r="M28" s="194">
        <v>9039</v>
      </c>
      <c r="N28" s="186">
        <v>-485</v>
      </c>
      <c r="O28" s="199">
        <v>-800</v>
      </c>
      <c r="P28" s="186">
        <v>-610</v>
      </c>
      <c r="Q28" s="194">
        <v>1012</v>
      </c>
      <c r="R28" s="186">
        <v>-4400</v>
      </c>
      <c r="S28" s="196">
        <v>-155</v>
      </c>
      <c r="T28" s="186">
        <v>3209</v>
      </c>
    </row>
    <row r="29" spans="2:20" ht="12.75">
      <c r="B29" s="61" t="s">
        <v>112</v>
      </c>
      <c r="C29" s="61" t="s">
        <v>220</v>
      </c>
      <c r="D29" s="189" t="s">
        <v>39</v>
      </c>
      <c r="E29" s="188" t="s">
        <v>39</v>
      </c>
      <c r="F29" s="189" t="s">
        <v>39</v>
      </c>
      <c r="G29" s="200" t="s">
        <v>39</v>
      </c>
      <c r="H29" s="189"/>
      <c r="I29" s="200" t="s">
        <v>39</v>
      </c>
      <c r="J29" s="189" t="s">
        <v>39</v>
      </c>
      <c r="K29" s="200"/>
      <c r="L29" s="186">
        <v>1138</v>
      </c>
      <c r="M29" s="200" t="s">
        <v>39</v>
      </c>
      <c r="N29" s="189" t="s">
        <v>39</v>
      </c>
      <c r="O29" s="201" t="s">
        <v>39</v>
      </c>
      <c r="P29" s="189" t="s">
        <v>39</v>
      </c>
      <c r="Q29" s="200" t="s">
        <v>39</v>
      </c>
      <c r="R29" s="189" t="s">
        <v>39</v>
      </c>
      <c r="S29" s="202" t="s">
        <v>39</v>
      </c>
      <c r="T29" s="189" t="s">
        <v>39</v>
      </c>
    </row>
    <row r="30" spans="2:20" ht="12.75">
      <c r="B30" s="24" t="s">
        <v>30</v>
      </c>
      <c r="C30" s="83" t="s">
        <v>221</v>
      </c>
      <c r="D30" s="189" t="s">
        <v>39</v>
      </c>
      <c r="E30" s="188" t="s">
        <v>39</v>
      </c>
      <c r="F30" s="189" t="s">
        <v>39</v>
      </c>
      <c r="G30" s="200" t="s">
        <v>39</v>
      </c>
      <c r="H30" s="189"/>
      <c r="I30" s="200" t="s">
        <v>39</v>
      </c>
      <c r="J30" s="189" t="s">
        <v>39</v>
      </c>
      <c r="K30" s="200" t="s">
        <v>39</v>
      </c>
      <c r="L30" s="189" t="s">
        <v>39</v>
      </c>
      <c r="M30" s="200" t="s">
        <v>39</v>
      </c>
      <c r="N30" s="189" t="s">
        <v>39</v>
      </c>
      <c r="O30" s="201" t="s">
        <v>39</v>
      </c>
      <c r="P30" s="189" t="s">
        <v>39</v>
      </c>
      <c r="Q30" s="200" t="s">
        <v>39</v>
      </c>
      <c r="R30" s="186">
        <v>342</v>
      </c>
      <c r="S30" s="202" t="s">
        <v>39</v>
      </c>
      <c r="T30" s="186">
        <v>28</v>
      </c>
    </row>
    <row r="31" spans="2:20" ht="12.75">
      <c r="B31" s="24" t="s">
        <v>31</v>
      </c>
      <c r="C31" s="24" t="s">
        <v>222</v>
      </c>
      <c r="D31" s="189" t="s">
        <v>39</v>
      </c>
      <c r="E31" s="188" t="s">
        <v>39</v>
      </c>
      <c r="F31" s="189" t="s">
        <v>39</v>
      </c>
      <c r="G31" s="200" t="s">
        <v>39</v>
      </c>
      <c r="H31" s="189"/>
      <c r="I31" s="200" t="s">
        <v>39</v>
      </c>
      <c r="J31" s="189" t="s">
        <v>39</v>
      </c>
      <c r="K31" s="200" t="s">
        <v>39</v>
      </c>
      <c r="L31" s="189" t="s">
        <v>39</v>
      </c>
      <c r="M31" s="200" t="s">
        <v>39</v>
      </c>
      <c r="N31" s="189" t="s">
        <v>39</v>
      </c>
      <c r="O31" s="199">
        <v>-325</v>
      </c>
      <c r="P31" s="189" t="s">
        <v>39</v>
      </c>
      <c r="Q31" s="194">
        <v>-925</v>
      </c>
      <c r="R31" s="186">
        <v>-3763</v>
      </c>
      <c r="S31" s="196">
        <v>80</v>
      </c>
      <c r="T31" s="189" t="s">
        <v>39</v>
      </c>
    </row>
    <row r="32" spans="2:20" ht="15">
      <c r="B32" s="24" t="s">
        <v>510</v>
      </c>
      <c r="C32" s="24" t="s">
        <v>223</v>
      </c>
      <c r="D32" s="189" t="s">
        <v>39</v>
      </c>
      <c r="E32" s="188" t="s">
        <v>39</v>
      </c>
      <c r="F32" s="189" t="s">
        <v>39</v>
      </c>
      <c r="G32" s="200" t="s">
        <v>39</v>
      </c>
      <c r="H32" s="189"/>
      <c r="I32" s="200" t="s">
        <v>39</v>
      </c>
      <c r="J32" s="189" t="s">
        <v>39</v>
      </c>
      <c r="K32" s="200" t="s">
        <v>39</v>
      </c>
      <c r="L32" s="189" t="s">
        <v>39</v>
      </c>
      <c r="M32" s="200" t="s">
        <v>39</v>
      </c>
      <c r="N32" s="186">
        <v>-2573</v>
      </c>
      <c r="O32" s="201" t="s">
        <v>39</v>
      </c>
      <c r="P32" s="189" t="s">
        <v>39</v>
      </c>
      <c r="Q32" s="200" t="s">
        <v>39</v>
      </c>
      <c r="R32" s="189" t="s">
        <v>39</v>
      </c>
      <c r="S32" s="202" t="s">
        <v>39</v>
      </c>
      <c r="T32" s="189" t="s">
        <v>39</v>
      </c>
    </row>
    <row r="33" spans="2:20" ht="12.75">
      <c r="B33" s="62" t="s">
        <v>160</v>
      </c>
      <c r="C33" s="62" t="s">
        <v>224</v>
      </c>
      <c r="D33" s="171">
        <v>-729</v>
      </c>
      <c r="E33" s="188">
        <v>-3523</v>
      </c>
      <c r="F33" s="189">
        <v>1013</v>
      </c>
      <c r="G33" s="200">
        <v>2426</v>
      </c>
      <c r="H33" s="189">
        <v>-66</v>
      </c>
      <c r="I33" s="200">
        <v>-265</v>
      </c>
      <c r="J33" s="189"/>
      <c r="K33" s="200"/>
      <c r="L33" s="189"/>
      <c r="M33" s="200"/>
      <c r="N33" s="186"/>
      <c r="O33" s="201"/>
      <c r="P33" s="189"/>
      <c r="Q33" s="200"/>
      <c r="R33" s="189"/>
      <c r="S33" s="202"/>
      <c r="T33" s="189"/>
    </row>
    <row r="34" spans="2:20" ht="15">
      <c r="B34" s="62" t="s">
        <v>509</v>
      </c>
      <c r="C34" s="62" t="s">
        <v>225</v>
      </c>
      <c r="D34" s="189" t="s">
        <v>39</v>
      </c>
      <c r="E34" s="188" t="s">
        <v>39</v>
      </c>
      <c r="F34" s="189" t="s">
        <v>39</v>
      </c>
      <c r="G34" s="200" t="s">
        <v>39</v>
      </c>
      <c r="H34" s="189"/>
      <c r="I34" s="200" t="s">
        <v>39</v>
      </c>
      <c r="J34" s="189" t="s">
        <v>39</v>
      </c>
      <c r="K34" s="200">
        <v>-184</v>
      </c>
      <c r="L34" s="189"/>
      <c r="M34" s="200"/>
      <c r="N34" s="186"/>
      <c r="O34" s="201"/>
      <c r="P34" s="189"/>
      <c r="Q34" s="200"/>
      <c r="R34" s="189"/>
      <c r="S34" s="202"/>
      <c r="T34" s="189"/>
    </row>
    <row r="35" spans="2:20" ht="12.75">
      <c r="B35" s="24" t="s">
        <v>37</v>
      </c>
      <c r="C35" s="24" t="s">
        <v>226</v>
      </c>
      <c r="D35" s="171">
        <v>1316</v>
      </c>
      <c r="E35" s="185">
        <v>-3088</v>
      </c>
      <c r="F35" s="186">
        <v>-571</v>
      </c>
      <c r="G35" s="194">
        <v>2009</v>
      </c>
      <c r="H35" s="186">
        <v>-3240</v>
      </c>
      <c r="I35" s="194">
        <v>784</v>
      </c>
      <c r="J35" s="186">
        <v>2188</v>
      </c>
      <c r="K35" s="194">
        <v>3032</v>
      </c>
      <c r="L35" s="186">
        <v>-3059</v>
      </c>
      <c r="M35" s="194">
        <v>-846</v>
      </c>
      <c r="N35" s="186">
        <v>355</v>
      </c>
      <c r="O35" s="199">
        <v>-1227</v>
      </c>
      <c r="P35" s="186">
        <v>-946</v>
      </c>
      <c r="Q35" s="194">
        <v>17</v>
      </c>
      <c r="R35" s="186">
        <v>828</v>
      </c>
      <c r="S35" s="196">
        <v>316</v>
      </c>
      <c r="T35" s="186">
        <v>-3252</v>
      </c>
    </row>
    <row r="36" spans="2:20" ht="12.75">
      <c r="B36" s="27" t="s">
        <v>32</v>
      </c>
      <c r="C36" s="27" t="s">
        <v>227</v>
      </c>
      <c r="D36" s="172">
        <f aca="true" t="shared" si="5" ref="D36:T36">SUM(D27:D35)</f>
        <v>-40430</v>
      </c>
      <c r="E36" s="173">
        <f t="shared" si="5"/>
        <v>-47002</v>
      </c>
      <c r="F36" s="172">
        <f t="shared" si="5"/>
        <v>-37368</v>
      </c>
      <c r="G36" s="193">
        <f t="shared" si="5"/>
        <v>-36399</v>
      </c>
      <c r="H36" s="172">
        <f t="shared" si="5"/>
        <v>-39826</v>
      </c>
      <c r="I36" s="193">
        <f t="shared" si="5"/>
        <v>-34745</v>
      </c>
      <c r="J36" s="172">
        <f t="shared" si="5"/>
        <v>-22306</v>
      </c>
      <c r="K36" s="193">
        <f t="shared" si="5"/>
        <v>-23899</v>
      </c>
      <c r="L36" s="172">
        <f t="shared" si="5"/>
        <v>-23861</v>
      </c>
      <c r="M36" s="193">
        <f t="shared" si="5"/>
        <v>-15880</v>
      </c>
      <c r="N36" s="172">
        <f t="shared" si="5"/>
        <v>-24073</v>
      </c>
      <c r="O36" s="198">
        <f t="shared" si="5"/>
        <v>-21370</v>
      </c>
      <c r="P36" s="172">
        <f t="shared" si="5"/>
        <v>-19018</v>
      </c>
      <c r="Q36" s="193">
        <f t="shared" si="5"/>
        <v>-17462</v>
      </c>
      <c r="R36" s="172">
        <f t="shared" si="5"/>
        <v>-17566</v>
      </c>
      <c r="S36" s="197">
        <f t="shared" si="5"/>
        <v>-10573</v>
      </c>
      <c r="T36" s="172">
        <f t="shared" si="5"/>
        <v>-10814</v>
      </c>
    </row>
    <row r="37" spans="2:14" ht="12.75">
      <c r="B37" s="24"/>
      <c r="C37" s="24"/>
      <c r="D37" s="24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2.75">
      <c r="B38" s="2" t="s">
        <v>164</v>
      </c>
      <c r="C38" s="84" t="s">
        <v>228</v>
      </c>
      <c r="D38" s="84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2.75">
      <c r="B39" s="2" t="s">
        <v>165</v>
      </c>
      <c r="C39" s="84" t="s">
        <v>229</v>
      </c>
      <c r="D39" s="84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2:14" ht="12.75">
      <c r="B40" s="2" t="s">
        <v>90</v>
      </c>
      <c r="C40" s="84"/>
      <c r="D40" s="84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4" ht="12.75">
      <c r="B41" s="2" t="s">
        <v>166</v>
      </c>
      <c r="C41" s="84" t="s">
        <v>230</v>
      </c>
      <c r="D41" s="84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4" ht="12.75">
      <c r="B42" s="2" t="s">
        <v>89</v>
      </c>
      <c r="C42" s="84"/>
      <c r="D42" s="84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2:14" ht="12.75">
      <c r="B43" s="20" t="s">
        <v>167</v>
      </c>
      <c r="C43" s="85" t="s">
        <v>231</v>
      </c>
      <c r="D43" s="85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2.75">
      <c r="B44" s="23" t="s">
        <v>168</v>
      </c>
      <c r="C44" s="86" t="s">
        <v>232</v>
      </c>
      <c r="D44" s="86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2.75">
      <c r="B45" s="23" t="s">
        <v>120</v>
      </c>
      <c r="C45" s="86"/>
      <c r="D45" s="86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BV45"/>
  <sheetViews>
    <sheetView showGridLines="0" zoomScalePageLayoutView="0" workbookViewId="0" topLeftCell="C1">
      <selection activeCell="J48" sqref="J48"/>
    </sheetView>
  </sheetViews>
  <sheetFormatPr defaultColWidth="8.8515625" defaultRowHeight="12.75"/>
  <cols>
    <col min="1" max="1" width="8.8515625" style="0" customWidth="1"/>
    <col min="2" max="2" width="37.421875" style="0" customWidth="1"/>
    <col min="3" max="3" width="40.28125" style="0" customWidth="1"/>
    <col min="4" max="4" width="15.7109375" style="0" customWidth="1"/>
  </cols>
  <sheetData>
    <row r="1" spans="2:26" s="2" customFormat="1" ht="18">
      <c r="B1" s="29" t="s">
        <v>169</v>
      </c>
      <c r="C1" s="29" t="s">
        <v>298</v>
      </c>
      <c r="D1" s="29"/>
      <c r="E1" s="29"/>
      <c r="F1" s="29"/>
      <c r="G1" s="15"/>
      <c r="H1" s="15"/>
      <c r="I1" s="15"/>
      <c r="J1" s="15"/>
      <c r="K1" s="15"/>
      <c r="L1" s="15"/>
      <c r="M1" s="15"/>
      <c r="N1" s="15"/>
      <c r="O1" s="15"/>
      <c r="P1" s="29"/>
      <c r="Q1" s="15"/>
      <c r="R1" s="29"/>
      <c r="S1" s="15"/>
      <c r="T1" s="15"/>
      <c r="U1" s="15"/>
      <c r="V1" s="15"/>
      <c r="W1" s="15"/>
      <c r="X1" s="15"/>
      <c r="Y1" s="15"/>
      <c r="Z1" s="15"/>
    </row>
    <row r="2" spans="7:35" s="2" customFormat="1" ht="12.75">
      <c r="G2" s="15"/>
      <c r="H2" s="15"/>
      <c r="I2" s="15"/>
      <c r="J2" s="15"/>
      <c r="K2" s="15"/>
      <c r="L2" s="15"/>
      <c r="M2" s="15"/>
      <c r="N2" s="15"/>
      <c r="O2" s="15"/>
      <c r="Q2" s="15"/>
      <c r="S2" s="15"/>
      <c r="T2" s="15"/>
      <c r="U2" s="15"/>
      <c r="V2" s="15"/>
      <c r="W2" s="15"/>
      <c r="X2" s="15"/>
      <c r="Y2" s="15"/>
      <c r="Z2" s="15"/>
      <c r="AH2" s="23"/>
      <c r="AI2" s="23"/>
    </row>
    <row r="3" spans="2:71" ht="15">
      <c r="B3" s="1" t="s">
        <v>83</v>
      </c>
      <c r="C3" s="1" t="s">
        <v>201</v>
      </c>
      <c r="D3" s="158" t="s">
        <v>489</v>
      </c>
      <c r="E3" s="158" t="s">
        <v>485</v>
      </c>
      <c r="F3" s="158" t="s">
        <v>486</v>
      </c>
      <c r="G3" s="158" t="s">
        <v>471</v>
      </c>
      <c r="H3" s="158" t="s">
        <v>472</v>
      </c>
      <c r="I3" s="58" t="s">
        <v>473</v>
      </c>
      <c r="J3" s="58" t="s">
        <v>304</v>
      </c>
      <c r="K3" s="58" t="s">
        <v>303</v>
      </c>
      <c r="L3" s="58" t="s">
        <v>300</v>
      </c>
      <c r="M3" s="58" t="s">
        <v>176</v>
      </c>
      <c r="N3" s="58" t="s">
        <v>175</v>
      </c>
      <c r="O3" s="58" t="s">
        <v>174</v>
      </c>
      <c r="P3" s="58" t="s">
        <v>173</v>
      </c>
      <c r="Q3" s="58" t="s">
        <v>172</v>
      </c>
      <c r="R3" s="65" t="s">
        <v>162</v>
      </c>
      <c r="S3" s="65" t="s">
        <v>161</v>
      </c>
      <c r="T3" s="65" t="s">
        <v>159</v>
      </c>
      <c r="U3" s="65" t="s">
        <v>157</v>
      </c>
      <c r="V3" s="65" t="s">
        <v>156</v>
      </c>
      <c r="W3" s="65" t="s">
        <v>150</v>
      </c>
      <c r="X3" s="57" t="s">
        <v>149</v>
      </c>
      <c r="Y3" s="60" t="s">
        <v>147</v>
      </c>
      <c r="Z3" s="57" t="s">
        <v>146</v>
      </c>
      <c r="AA3" s="60" t="s">
        <v>145</v>
      </c>
      <c r="AB3" s="57" t="s">
        <v>127</v>
      </c>
      <c r="AC3" s="60" t="s">
        <v>126</v>
      </c>
      <c r="AD3" s="57" t="s">
        <v>125</v>
      </c>
      <c r="AE3" s="60" t="s">
        <v>123</v>
      </c>
      <c r="AF3" s="60" t="s">
        <v>119</v>
      </c>
      <c r="AG3" s="60" t="s">
        <v>118</v>
      </c>
      <c r="AH3" s="60" t="s">
        <v>117</v>
      </c>
      <c r="AI3" s="60" t="s">
        <v>116</v>
      </c>
      <c r="AJ3" s="60" t="s">
        <v>113</v>
      </c>
      <c r="AK3" s="60" t="s">
        <v>111</v>
      </c>
      <c r="AL3" s="59" t="s">
        <v>110</v>
      </c>
      <c r="AM3" s="59" t="s">
        <v>109</v>
      </c>
      <c r="AN3" s="59" t="s">
        <v>107</v>
      </c>
      <c r="AO3" s="56" t="s">
        <v>104</v>
      </c>
      <c r="AP3" s="56" t="s">
        <v>103</v>
      </c>
      <c r="AQ3" s="56" t="s">
        <v>102</v>
      </c>
      <c r="AR3" s="1">
        <v>991231</v>
      </c>
      <c r="AS3" s="1">
        <v>990930</v>
      </c>
      <c r="AT3" s="1">
        <v>990630</v>
      </c>
      <c r="AU3" s="1">
        <v>990331</v>
      </c>
      <c r="AV3" s="1">
        <v>981231</v>
      </c>
      <c r="AW3" s="1">
        <v>980930</v>
      </c>
      <c r="AX3" s="13">
        <v>980630</v>
      </c>
      <c r="AY3" s="13">
        <v>980331</v>
      </c>
      <c r="AZ3" s="13">
        <v>971231</v>
      </c>
      <c r="BA3" s="13">
        <v>970930</v>
      </c>
      <c r="BB3" s="1">
        <v>970630</v>
      </c>
      <c r="BC3" s="1">
        <v>970331</v>
      </c>
      <c r="BD3" s="1">
        <v>961231</v>
      </c>
      <c r="BE3" s="1">
        <v>960930</v>
      </c>
      <c r="BF3" s="1">
        <v>960630</v>
      </c>
      <c r="BG3" s="1">
        <v>960331</v>
      </c>
      <c r="BH3" s="1">
        <v>951231</v>
      </c>
      <c r="BI3" s="1">
        <v>950930</v>
      </c>
      <c r="BJ3" s="1">
        <v>950630</v>
      </c>
      <c r="BK3" s="1">
        <v>950331</v>
      </c>
      <c r="BL3" s="1">
        <v>941231</v>
      </c>
      <c r="BM3" s="1">
        <v>940930</v>
      </c>
      <c r="BN3" s="1">
        <v>940630</v>
      </c>
      <c r="BO3" s="1">
        <v>940331</v>
      </c>
      <c r="BP3" s="1">
        <v>931231</v>
      </c>
      <c r="BQ3" s="1">
        <v>930930</v>
      </c>
      <c r="BR3" s="1">
        <v>930630</v>
      </c>
      <c r="BS3" s="1">
        <v>930331</v>
      </c>
    </row>
    <row r="4" spans="1:71" ht="15">
      <c r="A4" t="s">
        <v>171</v>
      </c>
      <c r="B4" s="23" t="s">
        <v>85</v>
      </c>
      <c r="C4" s="20" t="s">
        <v>202</v>
      </c>
      <c r="D4" s="105">
        <v>4217</v>
      </c>
      <c r="E4" s="163">
        <v>4077</v>
      </c>
      <c r="F4" s="105">
        <v>3913</v>
      </c>
      <c r="G4" s="163">
        <v>3526</v>
      </c>
      <c r="H4" s="105">
        <v>3442</v>
      </c>
      <c r="I4" s="163">
        <v>3360</v>
      </c>
      <c r="J4" s="105">
        <v>3467</v>
      </c>
      <c r="K4" s="163">
        <v>3600</v>
      </c>
      <c r="L4" s="105">
        <v>3961</v>
      </c>
      <c r="M4" s="163">
        <v>3902</v>
      </c>
      <c r="N4" s="105">
        <v>3886</v>
      </c>
      <c r="O4" s="163">
        <v>3537</v>
      </c>
      <c r="P4" s="105">
        <v>3736</v>
      </c>
      <c r="Q4" s="163">
        <v>3509</v>
      </c>
      <c r="R4" s="105">
        <v>3497</v>
      </c>
      <c r="S4" s="163">
        <v>3381</v>
      </c>
      <c r="T4" s="105">
        <v>3446</v>
      </c>
      <c r="U4" s="163">
        <v>3425</v>
      </c>
      <c r="V4" s="105">
        <v>3155</v>
      </c>
      <c r="W4" s="163">
        <v>3087</v>
      </c>
      <c r="X4" s="75">
        <v>3371</v>
      </c>
      <c r="Y4" s="171">
        <v>3634</v>
      </c>
      <c r="Z4" s="75">
        <v>3658</v>
      </c>
      <c r="AA4" s="171">
        <v>3445</v>
      </c>
      <c r="AB4" s="75">
        <v>3348</v>
      </c>
      <c r="AC4" s="171">
        <v>3270</v>
      </c>
      <c r="AD4" s="75">
        <v>3291</v>
      </c>
      <c r="AE4" s="171">
        <v>3599</v>
      </c>
      <c r="AF4" s="75">
        <v>3964</v>
      </c>
      <c r="AG4" s="171">
        <v>3695</v>
      </c>
      <c r="AH4" s="75">
        <v>3823</v>
      </c>
      <c r="AI4" s="171">
        <v>3763</v>
      </c>
      <c r="AJ4" s="75">
        <v>4070</v>
      </c>
      <c r="AK4" s="171">
        <v>3909</v>
      </c>
      <c r="AL4" s="75">
        <v>3995</v>
      </c>
      <c r="AM4" s="171">
        <v>3436</v>
      </c>
      <c r="AN4" s="75">
        <v>3571</v>
      </c>
      <c r="AO4" s="171">
        <v>3074</v>
      </c>
      <c r="AP4" s="75">
        <v>2900</v>
      </c>
      <c r="AQ4" s="171">
        <v>2837</v>
      </c>
      <c r="AR4" s="75">
        <v>3070</v>
      </c>
      <c r="AS4" s="171">
        <v>2818</v>
      </c>
      <c r="AT4" s="2">
        <v>2654</v>
      </c>
      <c r="AU4" s="3">
        <v>2559</v>
      </c>
      <c r="AV4" s="2">
        <v>2506</v>
      </c>
      <c r="AW4" s="3">
        <v>2534</v>
      </c>
      <c r="AX4" s="2">
        <v>2433</v>
      </c>
      <c r="AY4" s="3">
        <v>2487</v>
      </c>
      <c r="AZ4" s="2">
        <v>2381</v>
      </c>
      <c r="BA4" s="3">
        <v>2244</v>
      </c>
      <c r="BB4" s="2">
        <v>2645</v>
      </c>
      <c r="BC4" s="3">
        <v>2074</v>
      </c>
      <c r="BD4" s="2">
        <v>2238</v>
      </c>
      <c r="BE4" s="3">
        <v>1975</v>
      </c>
      <c r="BF4" s="2">
        <v>1759</v>
      </c>
      <c r="BG4" s="3">
        <v>2152</v>
      </c>
      <c r="BH4" s="2">
        <v>2497</v>
      </c>
      <c r="BI4" s="3">
        <v>2568</v>
      </c>
      <c r="BJ4" s="2">
        <v>2654</v>
      </c>
      <c r="BK4" s="3">
        <v>2740</v>
      </c>
      <c r="BL4" s="2">
        <v>126</v>
      </c>
      <c r="BM4" s="3">
        <v>1192</v>
      </c>
      <c r="BN4" s="2">
        <v>1055</v>
      </c>
      <c r="BO4" s="3">
        <v>1205</v>
      </c>
      <c r="BP4" s="2">
        <v>1079</v>
      </c>
      <c r="BQ4" s="3">
        <v>978</v>
      </c>
      <c r="BR4" s="2">
        <v>1000</v>
      </c>
      <c r="BS4" s="3">
        <v>1024</v>
      </c>
    </row>
    <row r="5" spans="2:71" ht="12.75">
      <c r="B5" s="23" t="s">
        <v>14</v>
      </c>
      <c r="C5" s="20" t="s">
        <v>203</v>
      </c>
      <c r="D5" s="105">
        <v>1108</v>
      </c>
      <c r="E5" s="163">
        <v>1613</v>
      </c>
      <c r="F5" s="105">
        <v>463</v>
      </c>
      <c r="G5" s="163">
        <v>123</v>
      </c>
      <c r="H5" s="105">
        <v>1459</v>
      </c>
      <c r="I5" s="163">
        <v>778</v>
      </c>
      <c r="J5" s="105">
        <v>-531</v>
      </c>
      <c r="K5" s="163">
        <v>-1725</v>
      </c>
      <c r="L5" s="105">
        <v>577</v>
      </c>
      <c r="M5" s="163">
        <v>369</v>
      </c>
      <c r="N5" s="105">
        <v>-735</v>
      </c>
      <c r="O5" s="163">
        <v>-1510</v>
      </c>
      <c r="P5" s="105">
        <v>973</v>
      </c>
      <c r="Q5" s="163">
        <v>120</v>
      </c>
      <c r="R5" s="105">
        <v>-326</v>
      </c>
      <c r="S5" s="163">
        <v>-1561</v>
      </c>
      <c r="T5" s="105">
        <v>1395</v>
      </c>
      <c r="U5" s="163">
        <v>284</v>
      </c>
      <c r="V5" s="105">
        <v>-175</v>
      </c>
      <c r="W5" s="163">
        <v>-1266</v>
      </c>
      <c r="X5" s="75">
        <v>942</v>
      </c>
      <c r="Y5" s="171">
        <v>554</v>
      </c>
      <c r="Z5" s="75">
        <v>-771</v>
      </c>
      <c r="AA5" s="171">
        <v>-1369</v>
      </c>
      <c r="AB5" s="75">
        <v>1430</v>
      </c>
      <c r="AC5" s="171">
        <v>714</v>
      </c>
      <c r="AD5" s="75">
        <v>-709</v>
      </c>
      <c r="AE5" s="171">
        <v>-698</v>
      </c>
      <c r="AF5" s="75">
        <v>983</v>
      </c>
      <c r="AG5" s="171">
        <v>738</v>
      </c>
      <c r="AH5" s="75">
        <v>-151</v>
      </c>
      <c r="AI5" s="171">
        <v>-667</v>
      </c>
      <c r="AJ5" s="75">
        <v>1772</v>
      </c>
      <c r="AK5" s="171">
        <v>689</v>
      </c>
      <c r="AL5" s="75">
        <v>775</v>
      </c>
      <c r="AM5" s="171">
        <v>-769</v>
      </c>
      <c r="AN5" s="75">
        <v>305</v>
      </c>
      <c r="AO5" s="171">
        <v>103</v>
      </c>
      <c r="AP5" s="75">
        <v>-411</v>
      </c>
      <c r="AQ5" s="171">
        <v>-1105</v>
      </c>
      <c r="AR5" s="75">
        <v>386</v>
      </c>
      <c r="AS5" s="171">
        <v>132</v>
      </c>
      <c r="AT5" s="2">
        <v>-185</v>
      </c>
      <c r="AU5" s="3">
        <v>-559</v>
      </c>
      <c r="AV5" s="2">
        <v>721</v>
      </c>
      <c r="AW5" s="3">
        <v>-216</v>
      </c>
      <c r="AX5" s="2">
        <v>-414</v>
      </c>
      <c r="AY5" s="3">
        <v>-1023</v>
      </c>
      <c r="AZ5" s="2">
        <v>131</v>
      </c>
      <c r="BA5" s="3">
        <v>-8</v>
      </c>
      <c r="BB5" s="2">
        <v>-31</v>
      </c>
      <c r="BC5" s="3">
        <v>-625</v>
      </c>
      <c r="BD5" s="2">
        <v>132</v>
      </c>
      <c r="BE5" s="3">
        <v>1073</v>
      </c>
      <c r="BF5" s="2">
        <v>226</v>
      </c>
      <c r="BG5" s="3">
        <v>-763</v>
      </c>
      <c r="BH5" s="2">
        <v>1232</v>
      </c>
      <c r="BI5" s="3">
        <v>132</v>
      </c>
      <c r="BJ5" s="2">
        <v>-523</v>
      </c>
      <c r="BK5" s="3">
        <v>-1072</v>
      </c>
      <c r="BL5" s="2">
        <v>-92</v>
      </c>
      <c r="BM5" s="3">
        <v>-204</v>
      </c>
      <c r="BN5" s="2">
        <v>-15</v>
      </c>
      <c r="BO5" s="3">
        <v>-370</v>
      </c>
      <c r="BP5" s="2">
        <v>404</v>
      </c>
      <c r="BQ5" s="3">
        <v>227</v>
      </c>
      <c r="BR5" s="2">
        <v>516</v>
      </c>
      <c r="BS5" s="3">
        <v>-779</v>
      </c>
    </row>
    <row r="6" spans="1:71" ht="12.75">
      <c r="A6" t="s">
        <v>171</v>
      </c>
      <c r="B6" s="23" t="s">
        <v>15</v>
      </c>
      <c r="C6" s="23" t="s">
        <v>204</v>
      </c>
      <c r="D6" s="105">
        <v>-1668</v>
      </c>
      <c r="E6" s="163">
        <v>-622</v>
      </c>
      <c r="F6" s="105">
        <v>-849</v>
      </c>
      <c r="G6" s="163">
        <v>-898</v>
      </c>
      <c r="H6" s="105">
        <v>-1990</v>
      </c>
      <c r="I6" s="163">
        <v>-1494</v>
      </c>
      <c r="J6" s="105">
        <v>-1020</v>
      </c>
      <c r="K6" s="163">
        <v>-849</v>
      </c>
      <c r="L6" s="105">
        <v>-2089</v>
      </c>
      <c r="M6" s="163">
        <v>-1096</v>
      </c>
      <c r="N6" s="105">
        <v>-1217</v>
      </c>
      <c r="O6" s="163">
        <v>-763</v>
      </c>
      <c r="P6" s="105">
        <v>-2358</v>
      </c>
      <c r="Q6" s="163">
        <v>-1274</v>
      </c>
      <c r="R6" s="105">
        <v>-1106</v>
      </c>
      <c r="S6" s="163">
        <v>-934</v>
      </c>
      <c r="T6" s="105">
        <v>-2161</v>
      </c>
      <c r="U6" s="163">
        <v>-785</v>
      </c>
      <c r="V6" s="105">
        <v>-1163</v>
      </c>
      <c r="W6" s="163">
        <v>-750</v>
      </c>
      <c r="X6" s="75">
        <v>-1596</v>
      </c>
      <c r="Y6" s="171">
        <v>-1071</v>
      </c>
      <c r="Z6" s="75">
        <v>-1020</v>
      </c>
      <c r="AA6" s="171">
        <v>-583</v>
      </c>
      <c r="AB6" s="75">
        <v>-1550</v>
      </c>
      <c r="AC6" s="171">
        <v>-817</v>
      </c>
      <c r="AD6" s="75">
        <v>-928</v>
      </c>
      <c r="AE6" s="171">
        <v>-607</v>
      </c>
      <c r="AF6" s="75">
        <v>-1360</v>
      </c>
      <c r="AG6" s="171">
        <v>-843</v>
      </c>
      <c r="AH6" s="75">
        <v>-771</v>
      </c>
      <c r="AI6" s="171">
        <v>-549</v>
      </c>
      <c r="AJ6" s="75">
        <v>-1130</v>
      </c>
      <c r="AK6" s="171">
        <v>-902</v>
      </c>
      <c r="AL6" s="75">
        <v>-949</v>
      </c>
      <c r="AM6" s="171">
        <v>-498</v>
      </c>
      <c r="AN6" s="75">
        <v>-818</v>
      </c>
      <c r="AO6" s="171">
        <v>-481</v>
      </c>
      <c r="AP6" s="75">
        <v>-544</v>
      </c>
      <c r="AQ6" s="171">
        <v>-402</v>
      </c>
      <c r="AR6" s="75">
        <v>-605</v>
      </c>
      <c r="AS6" s="171">
        <v>-530</v>
      </c>
      <c r="AT6" s="2">
        <v>-469</v>
      </c>
      <c r="AU6" s="3">
        <v>-442</v>
      </c>
      <c r="AV6" s="2">
        <v>-791</v>
      </c>
      <c r="AW6" s="3">
        <v>-416</v>
      </c>
      <c r="AX6" s="2">
        <v>-455</v>
      </c>
      <c r="AY6" s="3">
        <v>-396</v>
      </c>
      <c r="AZ6" s="2">
        <v>-813</v>
      </c>
      <c r="BA6" s="3">
        <v>-483</v>
      </c>
      <c r="BB6" s="2">
        <v>-486</v>
      </c>
      <c r="BC6" s="3">
        <v>-425</v>
      </c>
      <c r="BD6" s="2">
        <v>-702</v>
      </c>
      <c r="BE6" s="3">
        <v>-699</v>
      </c>
      <c r="BF6" s="2">
        <v>-605</v>
      </c>
      <c r="BG6" s="3">
        <v>-563</v>
      </c>
      <c r="BH6" s="2">
        <v>-1084</v>
      </c>
      <c r="BI6" s="3">
        <v>-558</v>
      </c>
      <c r="BJ6" s="2">
        <v>-774</v>
      </c>
      <c r="BK6" s="3">
        <v>-511</v>
      </c>
      <c r="BL6" s="2">
        <v>-341</v>
      </c>
      <c r="BM6" s="3">
        <v>-555</v>
      </c>
      <c r="BN6" s="2">
        <v>-263</v>
      </c>
      <c r="BO6" s="3">
        <v>-218</v>
      </c>
      <c r="BP6" s="2">
        <v>-426</v>
      </c>
      <c r="BQ6" s="3">
        <v>-378</v>
      </c>
      <c r="BR6" s="2">
        <v>-398</v>
      </c>
      <c r="BS6" s="3">
        <v>-277</v>
      </c>
    </row>
    <row r="7" spans="2:71" ht="12.75">
      <c r="B7" s="23" t="s">
        <v>16</v>
      </c>
      <c r="C7" s="20" t="s">
        <v>205</v>
      </c>
      <c r="D7" s="105">
        <v>-219</v>
      </c>
      <c r="E7" s="163">
        <v>-235</v>
      </c>
      <c r="F7" s="105">
        <v>-179</v>
      </c>
      <c r="G7" s="163">
        <v>-237</v>
      </c>
      <c r="H7" s="105">
        <v>-225</v>
      </c>
      <c r="I7" s="163">
        <v>-168</v>
      </c>
      <c r="J7" s="105">
        <v>-121</v>
      </c>
      <c r="K7" s="163">
        <v>-170</v>
      </c>
      <c r="L7" s="105">
        <v>-210</v>
      </c>
      <c r="M7" s="163">
        <v>-91</v>
      </c>
      <c r="N7" s="105">
        <v>-192</v>
      </c>
      <c r="O7" s="163">
        <v>-202</v>
      </c>
      <c r="P7" s="105">
        <v>-431</v>
      </c>
      <c r="Q7" s="163">
        <v>-358</v>
      </c>
      <c r="R7" s="105">
        <v>-271</v>
      </c>
      <c r="S7" s="163">
        <v>-293</v>
      </c>
      <c r="T7" s="105">
        <v>-332</v>
      </c>
      <c r="U7" s="163">
        <v>-364</v>
      </c>
      <c r="V7" s="105">
        <v>-169</v>
      </c>
      <c r="W7" s="163">
        <v>-156</v>
      </c>
      <c r="X7" s="75">
        <v>-195</v>
      </c>
      <c r="Y7" s="171">
        <v>5</v>
      </c>
      <c r="Z7" s="75">
        <v>-88</v>
      </c>
      <c r="AA7" s="171">
        <v>-78</v>
      </c>
      <c r="AB7" s="75">
        <v>-60</v>
      </c>
      <c r="AC7" s="171">
        <v>-75</v>
      </c>
      <c r="AD7" s="75">
        <v>-28</v>
      </c>
      <c r="AE7" s="171">
        <v>-78</v>
      </c>
      <c r="AF7" s="75">
        <v>-156</v>
      </c>
      <c r="AG7" s="171">
        <v>26</v>
      </c>
      <c r="AH7" s="75">
        <v>-104</v>
      </c>
      <c r="AI7" s="171">
        <v>30</v>
      </c>
      <c r="AJ7" s="75">
        <v>-164</v>
      </c>
      <c r="AK7" s="171">
        <v>-5</v>
      </c>
      <c r="AL7" s="75">
        <v>51</v>
      </c>
      <c r="AM7" s="171">
        <v>-74</v>
      </c>
      <c r="AN7" s="75">
        <f>-21-7</f>
        <v>-28</v>
      </c>
      <c r="AO7" s="171">
        <v>63</v>
      </c>
      <c r="AP7" s="75">
        <f>4-51</f>
        <v>-47</v>
      </c>
      <c r="AQ7" s="171">
        <v>-11</v>
      </c>
      <c r="AR7" s="75">
        <v>-56</v>
      </c>
      <c r="AS7" s="171">
        <v>39</v>
      </c>
      <c r="AT7" s="2">
        <v>-17</v>
      </c>
      <c r="AU7" s="3">
        <v>-88</v>
      </c>
      <c r="AV7" s="2">
        <v>-142</v>
      </c>
      <c r="AW7" s="3">
        <v>-40</v>
      </c>
      <c r="AX7" s="2">
        <v>-45</v>
      </c>
      <c r="AY7" s="3">
        <v>-65</v>
      </c>
      <c r="AZ7" s="2">
        <v>-104</v>
      </c>
      <c r="BA7" s="3">
        <v>-8</v>
      </c>
      <c r="BB7" s="2">
        <v>7</v>
      </c>
      <c r="BC7" s="3">
        <v>14</v>
      </c>
      <c r="BD7" s="2">
        <v>-333</v>
      </c>
      <c r="BE7" s="3">
        <v>-143</v>
      </c>
      <c r="BF7" s="2">
        <v>111</v>
      </c>
      <c r="BG7" s="3">
        <v>-109</v>
      </c>
      <c r="BH7" s="2">
        <v>-503</v>
      </c>
      <c r="BI7" s="3">
        <v>-69</v>
      </c>
      <c r="BJ7" s="2">
        <v>-98</v>
      </c>
      <c r="BK7" s="3">
        <v>-45</v>
      </c>
      <c r="BL7" s="2">
        <v>1243</v>
      </c>
      <c r="BM7" s="3">
        <v>-8</v>
      </c>
      <c r="BN7" s="2">
        <v>-11</v>
      </c>
      <c r="BO7" s="3">
        <v>-322</v>
      </c>
      <c r="BP7" s="2">
        <v>-98</v>
      </c>
      <c r="BQ7" s="3">
        <v>-25</v>
      </c>
      <c r="BR7" s="2">
        <v>-92</v>
      </c>
      <c r="BS7" s="3">
        <v>-66</v>
      </c>
    </row>
    <row r="8" spans="1:71" ht="12.75">
      <c r="A8" t="s">
        <v>171</v>
      </c>
      <c r="B8" s="32" t="s">
        <v>17</v>
      </c>
      <c r="C8" s="21" t="s">
        <v>206</v>
      </c>
      <c r="D8" s="165">
        <v>3438</v>
      </c>
      <c r="E8" s="164">
        <v>4833</v>
      </c>
      <c r="F8" s="165">
        <v>3348</v>
      </c>
      <c r="G8" s="164">
        <f aca="true" t="shared" si="0" ref="G8:W8">G4+G5+G6+G7</f>
        <v>2514</v>
      </c>
      <c r="H8" s="165">
        <f t="shared" si="0"/>
        <v>2686</v>
      </c>
      <c r="I8" s="164">
        <f t="shared" si="0"/>
        <v>2476</v>
      </c>
      <c r="J8" s="165">
        <f t="shared" si="0"/>
        <v>1795</v>
      </c>
      <c r="K8" s="164">
        <f t="shared" si="0"/>
        <v>856</v>
      </c>
      <c r="L8" s="165">
        <f t="shared" si="0"/>
        <v>2239</v>
      </c>
      <c r="M8" s="164">
        <f t="shared" si="0"/>
        <v>3084</v>
      </c>
      <c r="N8" s="165">
        <f t="shared" si="0"/>
        <v>1742</v>
      </c>
      <c r="O8" s="164">
        <f t="shared" si="0"/>
        <v>1062</v>
      </c>
      <c r="P8" s="165">
        <f t="shared" si="0"/>
        <v>1920</v>
      </c>
      <c r="Q8" s="164">
        <f t="shared" si="0"/>
        <v>1997</v>
      </c>
      <c r="R8" s="165">
        <f t="shared" si="0"/>
        <v>1794</v>
      </c>
      <c r="S8" s="164">
        <f t="shared" si="0"/>
        <v>593</v>
      </c>
      <c r="T8" s="165">
        <f t="shared" si="0"/>
        <v>2348</v>
      </c>
      <c r="U8" s="164">
        <f t="shared" si="0"/>
        <v>2560</v>
      </c>
      <c r="V8" s="165">
        <f t="shared" si="0"/>
        <v>1648</v>
      </c>
      <c r="W8" s="172">
        <f t="shared" si="0"/>
        <v>915</v>
      </c>
      <c r="X8" s="173">
        <f aca="true" t="shared" si="1" ref="X8:AL8">SUM(X4:X7)</f>
        <v>2522</v>
      </c>
      <c r="Y8" s="172">
        <f t="shared" si="1"/>
        <v>3122</v>
      </c>
      <c r="Z8" s="173">
        <f t="shared" si="1"/>
        <v>1779</v>
      </c>
      <c r="AA8" s="172">
        <f t="shared" si="1"/>
        <v>1415</v>
      </c>
      <c r="AB8" s="173">
        <f t="shared" si="1"/>
        <v>3168</v>
      </c>
      <c r="AC8" s="172">
        <f t="shared" si="1"/>
        <v>3092</v>
      </c>
      <c r="AD8" s="173">
        <f t="shared" si="1"/>
        <v>1626</v>
      </c>
      <c r="AE8" s="172">
        <f t="shared" si="1"/>
        <v>2216</v>
      </c>
      <c r="AF8" s="173">
        <f t="shared" si="1"/>
        <v>3431</v>
      </c>
      <c r="AG8" s="172">
        <f t="shared" si="1"/>
        <v>3616</v>
      </c>
      <c r="AH8" s="173">
        <f t="shared" si="1"/>
        <v>2797</v>
      </c>
      <c r="AI8" s="172">
        <f t="shared" si="1"/>
        <v>2577</v>
      </c>
      <c r="AJ8" s="173">
        <f t="shared" si="1"/>
        <v>4548</v>
      </c>
      <c r="AK8" s="172">
        <f t="shared" si="1"/>
        <v>3691</v>
      </c>
      <c r="AL8" s="173">
        <f t="shared" si="1"/>
        <v>3872</v>
      </c>
      <c r="AM8" s="172">
        <f aca="true" t="shared" si="2" ref="AM8:AY8">SUM(AM4:AM7)</f>
        <v>2095</v>
      </c>
      <c r="AN8" s="173">
        <f t="shared" si="2"/>
        <v>3030</v>
      </c>
      <c r="AO8" s="172">
        <f t="shared" si="2"/>
        <v>2759</v>
      </c>
      <c r="AP8" s="173">
        <f t="shared" si="2"/>
        <v>1898</v>
      </c>
      <c r="AQ8" s="172">
        <f t="shared" si="2"/>
        <v>1319</v>
      </c>
      <c r="AR8" s="173">
        <f t="shared" si="2"/>
        <v>2795</v>
      </c>
      <c r="AS8" s="172">
        <f t="shared" si="2"/>
        <v>2459</v>
      </c>
      <c r="AT8" s="4">
        <f t="shared" si="2"/>
        <v>1983</v>
      </c>
      <c r="AU8" s="5">
        <f t="shared" si="2"/>
        <v>1470</v>
      </c>
      <c r="AV8" s="4">
        <f t="shared" si="2"/>
        <v>2294</v>
      </c>
      <c r="AW8" s="5">
        <f t="shared" si="2"/>
        <v>1862</v>
      </c>
      <c r="AX8" s="4">
        <f t="shared" si="2"/>
        <v>1519</v>
      </c>
      <c r="AY8" s="5">
        <f t="shared" si="2"/>
        <v>1003</v>
      </c>
      <c r="AZ8" s="4">
        <v>1595</v>
      </c>
      <c r="BA8" s="5">
        <v>1745</v>
      </c>
      <c r="BB8" s="4">
        <v>2135</v>
      </c>
      <c r="BC8" s="5">
        <v>1038</v>
      </c>
      <c r="BD8" s="4">
        <v>1335</v>
      </c>
      <c r="BE8" s="5">
        <v>2206</v>
      </c>
      <c r="BF8" s="4">
        <v>1491</v>
      </c>
      <c r="BG8" s="5">
        <v>717</v>
      </c>
      <c r="BH8" s="4">
        <v>2142</v>
      </c>
      <c r="BI8" s="5">
        <v>2073</v>
      </c>
      <c r="BJ8" s="4">
        <v>1259</v>
      </c>
      <c r="BK8" s="5">
        <v>1112</v>
      </c>
      <c r="BL8" s="4">
        <v>936</v>
      </c>
      <c r="BM8" s="5">
        <v>425</v>
      </c>
      <c r="BN8" s="4">
        <v>766</v>
      </c>
      <c r="BO8" s="5">
        <v>295</v>
      </c>
      <c r="BP8" s="4">
        <v>959</v>
      </c>
      <c r="BQ8" s="5">
        <v>802</v>
      </c>
      <c r="BR8" s="4">
        <v>1026</v>
      </c>
      <c r="BS8" s="5">
        <v>-98</v>
      </c>
    </row>
    <row r="9" spans="2:71" ht="12.75">
      <c r="B9" s="23"/>
      <c r="C9" s="23"/>
      <c r="D9" s="105"/>
      <c r="E9" s="163"/>
      <c r="F9" s="105"/>
      <c r="G9" s="163"/>
      <c r="H9" s="105"/>
      <c r="I9" s="163"/>
      <c r="J9" s="105"/>
      <c r="K9" s="163"/>
      <c r="L9" s="105"/>
      <c r="M9" s="163"/>
      <c r="N9" s="105"/>
      <c r="O9" s="163"/>
      <c r="P9" s="105"/>
      <c r="Q9" s="163"/>
      <c r="R9" s="105"/>
      <c r="S9" s="163"/>
      <c r="T9" s="105"/>
      <c r="U9" s="163"/>
      <c r="V9" s="105"/>
      <c r="W9" s="163"/>
      <c r="X9" s="75"/>
      <c r="Y9" s="171"/>
      <c r="Z9" s="75"/>
      <c r="AA9" s="171"/>
      <c r="AB9" s="75"/>
      <c r="AC9" s="171"/>
      <c r="AD9" s="75"/>
      <c r="AE9" s="171"/>
      <c r="AF9" s="75"/>
      <c r="AG9" s="171"/>
      <c r="AH9" s="75"/>
      <c r="AI9" s="171"/>
      <c r="AJ9" s="75"/>
      <c r="AK9" s="171"/>
      <c r="AL9" s="75"/>
      <c r="AM9" s="171"/>
      <c r="AN9" s="75"/>
      <c r="AO9" s="171"/>
      <c r="AP9" s="75"/>
      <c r="AQ9" s="171"/>
      <c r="AR9" s="75"/>
      <c r="AS9" s="171"/>
      <c r="AT9" s="2"/>
      <c r="AU9" s="3"/>
      <c r="AV9" s="2"/>
      <c r="AW9" s="3"/>
      <c r="AX9" s="2"/>
      <c r="AY9" s="3"/>
      <c r="AZ9" s="2"/>
      <c r="BA9" s="3"/>
      <c r="BB9" s="2"/>
      <c r="BC9" s="3"/>
      <c r="BD9" s="2"/>
      <c r="BE9" s="3"/>
      <c r="BF9" s="2"/>
      <c r="BG9" s="3"/>
      <c r="BH9" s="2"/>
      <c r="BI9" s="3"/>
      <c r="BJ9" s="2"/>
      <c r="BK9" s="3"/>
      <c r="BL9" s="2"/>
      <c r="BM9" s="3"/>
      <c r="BN9" s="2"/>
      <c r="BO9" s="3"/>
      <c r="BP9" s="2"/>
      <c r="BQ9" s="3"/>
      <c r="BR9" s="2"/>
      <c r="BS9" s="3"/>
    </row>
    <row r="10" spans="2:71" ht="12.75">
      <c r="B10" s="23" t="s">
        <v>1</v>
      </c>
      <c r="C10" s="20" t="s">
        <v>178</v>
      </c>
      <c r="D10" s="105">
        <v>-288</v>
      </c>
      <c r="E10" s="163">
        <v>-377</v>
      </c>
      <c r="F10" s="105">
        <v>-354</v>
      </c>
      <c r="G10" s="163">
        <v>-625</v>
      </c>
      <c r="H10" s="105">
        <v>-688</v>
      </c>
      <c r="I10" s="163">
        <v>-608</v>
      </c>
      <c r="J10" s="105">
        <v>-496</v>
      </c>
      <c r="K10" s="163">
        <v>-525</v>
      </c>
      <c r="L10" s="105">
        <v>-549</v>
      </c>
      <c r="M10" s="163">
        <v>-507</v>
      </c>
      <c r="N10" s="105">
        <v>-435</v>
      </c>
      <c r="O10" s="163">
        <v>-419</v>
      </c>
      <c r="P10" s="105">
        <v>-458</v>
      </c>
      <c r="Q10" s="163">
        <v>-423</v>
      </c>
      <c r="R10" s="105">
        <v>-405</v>
      </c>
      <c r="S10" s="163">
        <v>-386</v>
      </c>
      <c r="T10" s="105">
        <v>-401</v>
      </c>
      <c r="U10" s="163">
        <v>-393</v>
      </c>
      <c r="V10" s="105">
        <v>-358</v>
      </c>
      <c r="W10" s="163">
        <v>-343</v>
      </c>
      <c r="X10" s="75">
        <v>-241</v>
      </c>
      <c r="Y10" s="171">
        <v>-330</v>
      </c>
      <c r="Z10" s="75">
        <v>-299</v>
      </c>
      <c r="AA10" s="171">
        <v>-214</v>
      </c>
      <c r="AB10" s="75">
        <v>-178</v>
      </c>
      <c r="AC10" s="171">
        <v>-199</v>
      </c>
      <c r="AD10" s="75">
        <v>-187</v>
      </c>
      <c r="AE10" s="171">
        <v>-226</v>
      </c>
      <c r="AF10" s="75">
        <v>-265</v>
      </c>
      <c r="AG10" s="171">
        <v>-267</v>
      </c>
      <c r="AH10" s="75">
        <v>-238</v>
      </c>
      <c r="AI10" s="171">
        <v>-253</v>
      </c>
      <c r="AJ10" s="75">
        <v>-340</v>
      </c>
      <c r="AK10" s="171">
        <v>-392</v>
      </c>
      <c r="AL10" s="75">
        <f>-670--250</f>
        <v>-420</v>
      </c>
      <c r="AM10" s="171">
        <v>-250</v>
      </c>
      <c r="AN10" s="75">
        <v>-286</v>
      </c>
      <c r="AO10" s="171">
        <v>-320</v>
      </c>
      <c r="AP10" s="75">
        <v>-320</v>
      </c>
      <c r="AQ10" s="171">
        <v>-281</v>
      </c>
      <c r="AR10" s="75">
        <v>-313</v>
      </c>
      <c r="AS10" s="171">
        <v>-315</v>
      </c>
      <c r="AT10" s="2">
        <v>-258</v>
      </c>
      <c r="AU10" s="3">
        <v>-326</v>
      </c>
      <c r="AV10" s="2">
        <v>-343</v>
      </c>
      <c r="AW10" s="3">
        <v>-338</v>
      </c>
      <c r="AX10" s="2">
        <v>-298</v>
      </c>
      <c r="AY10" s="3">
        <v>-280</v>
      </c>
      <c r="AZ10" s="2">
        <v>-307</v>
      </c>
      <c r="BA10" s="3">
        <v>-285</v>
      </c>
      <c r="BB10" s="2">
        <v>-284</v>
      </c>
      <c r="BC10" s="3">
        <v>-235</v>
      </c>
      <c r="BD10" s="2">
        <v>-265</v>
      </c>
      <c r="BE10" s="3">
        <v>-253</v>
      </c>
      <c r="BF10" s="2">
        <v>-239</v>
      </c>
      <c r="BG10" s="3">
        <v>-251</v>
      </c>
      <c r="BH10" s="2">
        <v>-413</v>
      </c>
      <c r="BI10" s="3">
        <v>-403</v>
      </c>
      <c r="BJ10" s="2">
        <v>-419</v>
      </c>
      <c r="BK10" s="3">
        <v>-384</v>
      </c>
      <c r="BL10" s="2">
        <v>-193</v>
      </c>
      <c r="BM10" s="3">
        <v>-197</v>
      </c>
      <c r="BN10" s="2">
        <v>-179</v>
      </c>
      <c r="BO10" s="3">
        <v>-181</v>
      </c>
      <c r="BP10" s="2">
        <v>-221</v>
      </c>
      <c r="BQ10" s="3">
        <v>-234</v>
      </c>
      <c r="BR10" s="2">
        <v>-255</v>
      </c>
      <c r="BS10" s="3">
        <v>-252</v>
      </c>
    </row>
    <row r="11" spans="2:71" ht="12.75">
      <c r="B11" s="23" t="s">
        <v>18</v>
      </c>
      <c r="C11" s="20" t="s">
        <v>207</v>
      </c>
      <c r="D11" s="105">
        <v>-591</v>
      </c>
      <c r="E11" s="163">
        <v>-208</v>
      </c>
      <c r="F11" s="105">
        <v>36</v>
      </c>
      <c r="G11" s="163">
        <v>-240</v>
      </c>
      <c r="H11" s="105">
        <v>-370</v>
      </c>
      <c r="I11" s="163">
        <v>-393</v>
      </c>
      <c r="J11" s="105">
        <v>-584</v>
      </c>
      <c r="K11" s="163">
        <v>-355</v>
      </c>
      <c r="L11" s="105">
        <v>-290</v>
      </c>
      <c r="M11" s="163">
        <v>-392</v>
      </c>
      <c r="N11" s="105">
        <v>-662</v>
      </c>
      <c r="O11" s="163">
        <v>-375</v>
      </c>
      <c r="P11" s="105">
        <v>-233</v>
      </c>
      <c r="Q11" s="163">
        <v>-712</v>
      </c>
      <c r="R11" s="105">
        <v>-492</v>
      </c>
      <c r="S11" s="163">
        <v>-333</v>
      </c>
      <c r="T11" s="105">
        <v>-346</v>
      </c>
      <c r="U11" s="163">
        <v>-478</v>
      </c>
      <c r="V11" s="105">
        <v>-204</v>
      </c>
      <c r="W11" s="163">
        <v>-601</v>
      </c>
      <c r="X11" s="75">
        <v>-367</v>
      </c>
      <c r="Y11" s="171">
        <v>-501</v>
      </c>
      <c r="Z11" s="75">
        <v>-878</v>
      </c>
      <c r="AA11" s="171">
        <v>-342</v>
      </c>
      <c r="AB11" s="75">
        <v>-297</v>
      </c>
      <c r="AC11" s="171">
        <v>-485</v>
      </c>
      <c r="AD11" s="75">
        <v>-113</v>
      </c>
      <c r="AE11" s="171">
        <v>-256</v>
      </c>
      <c r="AF11" s="75">
        <v>-832</v>
      </c>
      <c r="AG11" s="171">
        <v>-614</v>
      </c>
      <c r="AH11" s="75">
        <v>-527</v>
      </c>
      <c r="AI11" s="171">
        <v>-656</v>
      </c>
      <c r="AJ11" s="75">
        <v>-929</v>
      </c>
      <c r="AK11" s="171">
        <v>-425</v>
      </c>
      <c r="AL11" s="75">
        <f>-368--190</f>
        <v>-178</v>
      </c>
      <c r="AM11" s="171">
        <v>-190</v>
      </c>
      <c r="AN11" s="75">
        <v>-496</v>
      </c>
      <c r="AO11" s="171">
        <v>-264</v>
      </c>
      <c r="AP11" s="75">
        <v>-80</v>
      </c>
      <c r="AQ11" s="171">
        <v>-153</v>
      </c>
      <c r="AR11" s="75">
        <v>-255</v>
      </c>
      <c r="AS11" s="171">
        <v>-380</v>
      </c>
      <c r="AT11" s="2">
        <v>-136</v>
      </c>
      <c r="AU11" s="3">
        <v>-180</v>
      </c>
      <c r="AV11" s="2">
        <v>-404</v>
      </c>
      <c r="AW11" s="3">
        <v>-269</v>
      </c>
      <c r="AX11" s="2">
        <v>-168</v>
      </c>
      <c r="AY11" s="3">
        <v>-438</v>
      </c>
      <c r="AZ11" s="2">
        <v>-159</v>
      </c>
      <c r="BA11" s="3">
        <v>-206</v>
      </c>
      <c r="BB11" s="2">
        <v>-172</v>
      </c>
      <c r="BC11" s="3">
        <v>-194</v>
      </c>
      <c r="BD11" s="2">
        <v>-162</v>
      </c>
      <c r="BE11" s="3">
        <v>-261</v>
      </c>
      <c r="BF11" s="2">
        <v>-194</v>
      </c>
      <c r="BG11" s="3">
        <v>-42</v>
      </c>
      <c r="BH11" s="2">
        <v>-45</v>
      </c>
      <c r="BI11" s="3">
        <v>-1</v>
      </c>
      <c r="BJ11" s="2">
        <v>-174</v>
      </c>
      <c r="BK11" s="3">
        <v>-83</v>
      </c>
      <c r="BL11" s="2">
        <v>-61</v>
      </c>
      <c r="BM11" s="3">
        <v>-18</v>
      </c>
      <c r="BN11" s="2">
        <v>-32</v>
      </c>
      <c r="BO11" s="3">
        <v>-52</v>
      </c>
      <c r="BP11" s="2">
        <v>-121</v>
      </c>
      <c r="BQ11" s="3">
        <v>-42</v>
      </c>
      <c r="BR11" s="2">
        <v>-66</v>
      </c>
      <c r="BS11" s="3">
        <v>-156</v>
      </c>
    </row>
    <row r="12" spans="2:71" ht="12.75">
      <c r="B12" s="23" t="s">
        <v>19</v>
      </c>
      <c r="C12" s="20" t="s">
        <v>208</v>
      </c>
      <c r="D12" s="105">
        <v>-15</v>
      </c>
      <c r="E12" s="163">
        <v>11</v>
      </c>
      <c r="F12" s="105">
        <v>17</v>
      </c>
      <c r="G12" s="163">
        <v>-9</v>
      </c>
      <c r="H12" s="105">
        <v>4</v>
      </c>
      <c r="I12" s="163">
        <v>8</v>
      </c>
      <c r="J12" s="105">
        <v>-1</v>
      </c>
      <c r="K12" s="163">
        <v>5</v>
      </c>
      <c r="L12" s="105">
        <v>3</v>
      </c>
      <c r="M12" s="163">
        <v>1</v>
      </c>
      <c r="N12" s="105">
        <v>7</v>
      </c>
      <c r="O12" s="163">
        <v>-1</v>
      </c>
      <c r="P12" s="105">
        <v>-6</v>
      </c>
      <c r="Q12" s="163">
        <v>-85</v>
      </c>
      <c r="R12" s="105">
        <v>0</v>
      </c>
      <c r="S12" s="163">
        <v>1</v>
      </c>
      <c r="T12" s="105">
        <v>30</v>
      </c>
      <c r="U12" s="163">
        <v>-16</v>
      </c>
      <c r="V12" s="105">
        <v>-2</v>
      </c>
      <c r="W12" s="163">
        <v>3</v>
      </c>
      <c r="X12" s="75">
        <v>11</v>
      </c>
      <c r="Y12" s="171">
        <v>4</v>
      </c>
      <c r="Z12" s="75">
        <v>5</v>
      </c>
      <c r="AA12" s="171">
        <v>2</v>
      </c>
      <c r="AB12" s="75">
        <v>-62</v>
      </c>
      <c r="AC12" s="171">
        <v>77</v>
      </c>
      <c r="AD12" s="75">
        <v>-38</v>
      </c>
      <c r="AE12" s="171">
        <v>-4</v>
      </c>
      <c r="AF12" s="75">
        <v>-201</v>
      </c>
      <c r="AG12" s="171">
        <v>-8</v>
      </c>
      <c r="AH12" s="75">
        <v>143</v>
      </c>
      <c r="AI12" s="171">
        <v>-83</v>
      </c>
      <c r="AJ12" s="75">
        <v>255</v>
      </c>
      <c r="AK12" s="171">
        <f>-132+11+138</f>
        <v>17</v>
      </c>
      <c r="AL12" s="75">
        <f>-105--220</f>
        <v>115</v>
      </c>
      <c r="AM12" s="171">
        <v>-220</v>
      </c>
      <c r="AN12" s="75">
        <f>32-3-117</f>
        <v>-88</v>
      </c>
      <c r="AO12" s="171">
        <f>-107+68</f>
        <v>-39</v>
      </c>
      <c r="AP12" s="75">
        <f>-11+4-16</f>
        <v>-23</v>
      </c>
      <c r="AQ12" s="171">
        <v>-5</v>
      </c>
      <c r="AR12" s="75">
        <v>237</v>
      </c>
      <c r="AS12" s="171">
        <v>-38</v>
      </c>
      <c r="AT12" s="2">
        <v>116</v>
      </c>
      <c r="AU12" s="3">
        <v>-119</v>
      </c>
      <c r="AV12" s="2">
        <v>-35</v>
      </c>
      <c r="AW12" s="3">
        <v>-60</v>
      </c>
      <c r="AX12" s="2">
        <v>-94</v>
      </c>
      <c r="AY12" s="3">
        <v>-76</v>
      </c>
      <c r="AZ12" s="2">
        <v>90</v>
      </c>
      <c r="BA12" s="3">
        <v>47</v>
      </c>
      <c r="BB12" s="2">
        <v>-63</v>
      </c>
      <c r="BC12" s="3">
        <v>105</v>
      </c>
      <c r="BD12" s="2">
        <v>405</v>
      </c>
      <c r="BE12" s="3">
        <v>-102</v>
      </c>
      <c r="BF12" s="2">
        <v>-132</v>
      </c>
      <c r="BG12" s="3">
        <v>-123</v>
      </c>
      <c r="BH12" s="2">
        <v>254</v>
      </c>
      <c r="BI12" s="3">
        <v>-118</v>
      </c>
      <c r="BJ12" s="2">
        <v>175</v>
      </c>
      <c r="BK12" s="3">
        <v>-32</v>
      </c>
      <c r="BL12" s="2">
        <v>-58</v>
      </c>
      <c r="BM12" s="3">
        <v>-34</v>
      </c>
      <c r="BN12" s="2">
        <v>177</v>
      </c>
      <c r="BO12" s="3">
        <v>-420</v>
      </c>
      <c r="BP12" s="2">
        <v>18</v>
      </c>
      <c r="BQ12" s="3">
        <v>11</v>
      </c>
      <c r="BR12" s="2">
        <v>252</v>
      </c>
      <c r="BS12" s="3">
        <v>-310</v>
      </c>
    </row>
    <row r="13" spans="1:71" ht="12.75">
      <c r="A13" t="s">
        <v>171</v>
      </c>
      <c r="B13" s="32" t="s">
        <v>20</v>
      </c>
      <c r="C13" s="21" t="s">
        <v>209</v>
      </c>
      <c r="D13" s="198">
        <v>2544</v>
      </c>
      <c r="E13" s="164">
        <v>4259</v>
      </c>
      <c r="F13" s="165">
        <v>3047</v>
      </c>
      <c r="G13" s="164">
        <f aca="true" t="shared" si="3" ref="G13:V13">G8+G10+G11+G12</f>
        <v>1640</v>
      </c>
      <c r="H13" s="165">
        <f t="shared" si="3"/>
        <v>1632</v>
      </c>
      <c r="I13" s="164">
        <f t="shared" si="3"/>
        <v>1483</v>
      </c>
      <c r="J13" s="165">
        <f t="shared" si="3"/>
        <v>714</v>
      </c>
      <c r="K13" s="164">
        <f t="shared" si="3"/>
        <v>-19</v>
      </c>
      <c r="L13" s="165">
        <f t="shared" si="3"/>
        <v>1403</v>
      </c>
      <c r="M13" s="164">
        <f t="shared" si="3"/>
        <v>2186</v>
      </c>
      <c r="N13" s="165">
        <f t="shared" si="3"/>
        <v>652</v>
      </c>
      <c r="O13" s="164">
        <f t="shared" si="3"/>
        <v>267</v>
      </c>
      <c r="P13" s="165">
        <f t="shared" si="3"/>
        <v>1223</v>
      </c>
      <c r="Q13" s="164">
        <f t="shared" si="3"/>
        <v>777</v>
      </c>
      <c r="R13" s="165">
        <f t="shared" si="3"/>
        <v>897</v>
      </c>
      <c r="S13" s="164">
        <f t="shared" si="3"/>
        <v>-125</v>
      </c>
      <c r="T13" s="165">
        <f t="shared" si="3"/>
        <v>1631</v>
      </c>
      <c r="U13" s="164">
        <f t="shared" si="3"/>
        <v>1673</v>
      </c>
      <c r="V13" s="165">
        <f t="shared" si="3"/>
        <v>1084</v>
      </c>
      <c r="W13" s="172">
        <f aca="true" t="shared" si="4" ref="W13:AY13">SUM(W8:W12)</f>
        <v>-26</v>
      </c>
      <c r="X13" s="173">
        <f t="shared" si="4"/>
        <v>1925</v>
      </c>
      <c r="Y13" s="172">
        <f t="shared" si="4"/>
        <v>2295</v>
      </c>
      <c r="Z13" s="173">
        <f t="shared" si="4"/>
        <v>607</v>
      </c>
      <c r="AA13" s="172">
        <f t="shared" si="4"/>
        <v>861</v>
      </c>
      <c r="AB13" s="173">
        <f t="shared" si="4"/>
        <v>2631</v>
      </c>
      <c r="AC13" s="172">
        <f t="shared" si="4"/>
        <v>2485</v>
      </c>
      <c r="AD13" s="173">
        <f t="shared" si="4"/>
        <v>1288</v>
      </c>
      <c r="AE13" s="172">
        <f t="shared" si="4"/>
        <v>1730</v>
      </c>
      <c r="AF13" s="173">
        <f t="shared" si="4"/>
        <v>2133</v>
      </c>
      <c r="AG13" s="172">
        <f t="shared" si="4"/>
        <v>2727</v>
      </c>
      <c r="AH13" s="173">
        <f t="shared" si="4"/>
        <v>2175</v>
      </c>
      <c r="AI13" s="172">
        <f t="shared" si="4"/>
        <v>1585</v>
      </c>
      <c r="AJ13" s="173">
        <f t="shared" si="4"/>
        <v>3534</v>
      </c>
      <c r="AK13" s="172">
        <f t="shared" si="4"/>
        <v>2891</v>
      </c>
      <c r="AL13" s="173">
        <f t="shared" si="4"/>
        <v>3389</v>
      </c>
      <c r="AM13" s="172">
        <f t="shared" si="4"/>
        <v>1435</v>
      </c>
      <c r="AN13" s="173">
        <f t="shared" si="4"/>
        <v>2160</v>
      </c>
      <c r="AO13" s="172">
        <f t="shared" si="4"/>
        <v>2136</v>
      </c>
      <c r="AP13" s="173">
        <f t="shared" si="4"/>
        <v>1475</v>
      </c>
      <c r="AQ13" s="172">
        <f t="shared" si="4"/>
        <v>880</v>
      </c>
      <c r="AR13" s="173">
        <f t="shared" si="4"/>
        <v>2464</v>
      </c>
      <c r="AS13" s="172">
        <f t="shared" si="4"/>
        <v>1726</v>
      </c>
      <c r="AT13" s="4">
        <f t="shared" si="4"/>
        <v>1705</v>
      </c>
      <c r="AU13" s="5">
        <f t="shared" si="4"/>
        <v>845</v>
      </c>
      <c r="AV13" s="4">
        <f t="shared" si="4"/>
        <v>1512</v>
      </c>
      <c r="AW13" s="5">
        <f t="shared" si="4"/>
        <v>1195</v>
      </c>
      <c r="AX13" s="4">
        <f t="shared" si="4"/>
        <v>959</v>
      </c>
      <c r="AY13" s="5">
        <f t="shared" si="4"/>
        <v>209</v>
      </c>
      <c r="AZ13" s="4">
        <v>1219</v>
      </c>
      <c r="BA13" s="5">
        <v>1301</v>
      </c>
      <c r="BB13" s="4">
        <v>1616</v>
      </c>
      <c r="BC13" s="5">
        <v>714</v>
      </c>
      <c r="BD13" s="4">
        <v>1313</v>
      </c>
      <c r="BE13" s="5">
        <v>1590</v>
      </c>
      <c r="BF13" s="4">
        <v>926</v>
      </c>
      <c r="BG13" s="5">
        <v>301</v>
      </c>
      <c r="BH13" s="4">
        <v>1938</v>
      </c>
      <c r="BI13" s="5">
        <v>1551</v>
      </c>
      <c r="BJ13" s="4">
        <v>841</v>
      </c>
      <c r="BK13" s="5">
        <v>613</v>
      </c>
      <c r="BL13" s="4">
        <v>624</v>
      </c>
      <c r="BM13" s="5">
        <v>176</v>
      </c>
      <c r="BN13" s="4">
        <v>732</v>
      </c>
      <c r="BO13" s="5">
        <v>-358</v>
      </c>
      <c r="BP13" s="4">
        <v>635</v>
      </c>
      <c r="BQ13" s="5">
        <v>537</v>
      </c>
      <c r="BR13" s="4">
        <v>957</v>
      </c>
      <c r="BS13" s="5">
        <v>-816</v>
      </c>
    </row>
    <row r="14" spans="2:71" ht="12.75">
      <c r="B14" s="23"/>
      <c r="C14" s="23"/>
      <c r="D14" s="105"/>
      <c r="E14" s="163"/>
      <c r="F14" s="105"/>
      <c r="G14" s="163"/>
      <c r="H14" s="105"/>
      <c r="I14" s="163"/>
      <c r="J14" s="105"/>
      <c r="K14" s="163"/>
      <c r="L14" s="105"/>
      <c r="M14" s="163"/>
      <c r="N14" s="105"/>
      <c r="O14" s="163"/>
      <c r="P14" s="105"/>
      <c r="Q14" s="163"/>
      <c r="R14" s="105"/>
      <c r="S14" s="163"/>
      <c r="T14" s="105"/>
      <c r="U14" s="163"/>
      <c r="V14" s="105"/>
      <c r="W14" s="163"/>
      <c r="X14" s="75"/>
      <c r="Y14" s="171"/>
      <c r="Z14" s="75"/>
      <c r="AA14" s="171"/>
      <c r="AB14" s="75"/>
      <c r="AC14" s="171"/>
      <c r="AD14" s="75"/>
      <c r="AE14" s="171"/>
      <c r="AF14" s="75"/>
      <c r="AG14" s="171"/>
      <c r="AH14" s="75"/>
      <c r="AI14" s="171"/>
      <c r="AJ14" s="75"/>
      <c r="AK14" s="171"/>
      <c r="AL14" s="75"/>
      <c r="AM14" s="171"/>
      <c r="AN14" s="75"/>
      <c r="AO14" s="171"/>
      <c r="AP14" s="75"/>
      <c r="AQ14" s="171"/>
      <c r="AR14" s="75"/>
      <c r="AS14" s="171"/>
      <c r="AT14" s="2"/>
      <c r="AU14" s="3"/>
      <c r="AV14" s="2"/>
      <c r="AW14" s="3"/>
      <c r="AX14" s="2"/>
      <c r="AY14" s="3"/>
      <c r="AZ14" s="2"/>
      <c r="BA14" s="3"/>
      <c r="BB14" s="2"/>
      <c r="BC14" s="3"/>
      <c r="BD14" s="2"/>
      <c r="BE14" s="3"/>
      <c r="BF14" s="2"/>
      <c r="BG14" s="3"/>
      <c r="BH14" s="2"/>
      <c r="BI14" s="3"/>
      <c r="BJ14" s="2"/>
      <c r="BK14" s="3"/>
      <c r="BL14" s="2"/>
      <c r="BM14" s="3"/>
      <c r="BN14" s="2"/>
      <c r="BO14" s="3"/>
      <c r="BP14" s="2"/>
      <c r="BQ14" s="3"/>
      <c r="BR14" s="2"/>
      <c r="BS14" s="3"/>
    </row>
    <row r="15" spans="1:71" ht="15">
      <c r="A15" t="s">
        <v>171</v>
      </c>
      <c r="B15" s="23" t="s">
        <v>87</v>
      </c>
      <c r="C15" s="20" t="s">
        <v>210</v>
      </c>
      <c r="D15" s="105">
        <v>-770</v>
      </c>
      <c r="E15" s="163">
        <v>-621</v>
      </c>
      <c r="F15" s="105">
        <v>-925</v>
      </c>
      <c r="G15" s="163">
        <v>-715</v>
      </c>
      <c r="H15" s="105">
        <v>-1031</v>
      </c>
      <c r="I15" s="163">
        <v>-709</v>
      </c>
      <c r="J15" s="105">
        <v>-758</v>
      </c>
      <c r="K15" s="163">
        <v>-611</v>
      </c>
      <c r="L15" s="105">
        <v>-546</v>
      </c>
      <c r="M15" s="163">
        <v>-313</v>
      </c>
      <c r="N15" s="105">
        <v>-298</v>
      </c>
      <c r="O15" s="163">
        <v>-185</v>
      </c>
      <c r="P15" s="105">
        <f>-189-324+6</f>
        <v>-507</v>
      </c>
      <c r="Q15" s="163">
        <v>-230</v>
      </c>
      <c r="R15" s="105">
        <f>-185-9</f>
        <v>-194</v>
      </c>
      <c r="S15" s="163">
        <v>-217</v>
      </c>
      <c r="T15" s="105">
        <f>-633-26</f>
        <v>-659</v>
      </c>
      <c r="U15" s="163">
        <f>-(379+31)</f>
        <v>-410</v>
      </c>
      <c r="V15" s="105">
        <f>-(256+473)</f>
        <v>-729</v>
      </c>
      <c r="W15" s="163">
        <v>-613</v>
      </c>
      <c r="X15" s="75">
        <v>-715</v>
      </c>
      <c r="Y15" s="171">
        <f>-752-63</f>
        <v>-815</v>
      </c>
      <c r="Z15" s="75">
        <f>-512-32</f>
        <v>-544</v>
      </c>
      <c r="AA15" s="171">
        <f>-465-85</f>
        <v>-550</v>
      </c>
      <c r="AB15" s="75">
        <f>-843-103</f>
        <v>-946</v>
      </c>
      <c r="AC15" s="171">
        <f>-797-109</f>
        <v>-906</v>
      </c>
      <c r="AD15" s="75">
        <f>-756-72</f>
        <v>-828</v>
      </c>
      <c r="AE15" s="171">
        <f>-553-153</f>
        <v>-706</v>
      </c>
      <c r="AF15" s="75">
        <f>-1839-153</f>
        <v>-1992</v>
      </c>
      <c r="AG15" s="171">
        <f>-327-109</f>
        <v>-436</v>
      </c>
      <c r="AH15" s="75">
        <f>-374-188</f>
        <v>-562</v>
      </c>
      <c r="AI15" s="171">
        <f>-283-124</f>
        <v>-407</v>
      </c>
      <c r="AJ15" s="75">
        <f>-658-286</f>
        <v>-944</v>
      </c>
      <c r="AK15" s="171">
        <f>-257-183</f>
        <v>-440</v>
      </c>
      <c r="AL15" s="75">
        <f>-554-298--177</f>
        <v>-675</v>
      </c>
      <c r="AM15" s="171">
        <f>-129-48</f>
        <v>-177</v>
      </c>
      <c r="AN15" s="75">
        <f>-173-64</f>
        <v>-237</v>
      </c>
      <c r="AO15" s="171">
        <f>-209-55</f>
        <v>-264</v>
      </c>
      <c r="AP15" s="75">
        <f>-270-92</f>
        <v>-362</v>
      </c>
      <c r="AQ15" s="171">
        <f>-469-120</f>
        <v>-589</v>
      </c>
      <c r="AR15" s="75">
        <v>-538</v>
      </c>
      <c r="AS15" s="171">
        <v>-754</v>
      </c>
      <c r="AT15" s="2">
        <v>-1150</v>
      </c>
      <c r="AU15" s="3">
        <v>-543</v>
      </c>
      <c r="AV15" s="2">
        <v>-1092</v>
      </c>
      <c r="AW15" s="3">
        <v>-521</v>
      </c>
      <c r="AX15" s="2">
        <v>-406</v>
      </c>
      <c r="AY15" s="3">
        <v>-229</v>
      </c>
      <c r="AZ15" s="2">
        <v>-257</v>
      </c>
      <c r="BA15" s="3">
        <v>-154</v>
      </c>
      <c r="BB15" s="2">
        <v>-51</v>
      </c>
      <c r="BC15" s="3">
        <v>-521</v>
      </c>
      <c r="BD15" s="2">
        <v>-62</v>
      </c>
      <c r="BE15" s="3">
        <v>-195</v>
      </c>
      <c r="BF15" s="2">
        <v>-331</v>
      </c>
      <c r="BG15" s="3">
        <v>-458</v>
      </c>
      <c r="BH15" s="2">
        <v>-487</v>
      </c>
      <c r="BI15" s="3">
        <v>-539</v>
      </c>
      <c r="BJ15" s="2">
        <v>-315</v>
      </c>
      <c r="BK15" s="3">
        <v>-508</v>
      </c>
      <c r="BL15" s="2">
        <v>-396</v>
      </c>
      <c r="BM15" s="3">
        <v>-645</v>
      </c>
      <c r="BN15" s="2">
        <v>-305</v>
      </c>
      <c r="BO15" s="3">
        <v>-253</v>
      </c>
      <c r="BP15" s="2">
        <v>-21</v>
      </c>
      <c r="BQ15" s="3">
        <v>-19</v>
      </c>
      <c r="BR15" s="2">
        <v>-20</v>
      </c>
      <c r="BS15" s="3">
        <v>-14</v>
      </c>
    </row>
    <row r="16" spans="1:71" ht="12.75">
      <c r="A16" t="s">
        <v>171</v>
      </c>
      <c r="B16" s="23" t="s">
        <v>22</v>
      </c>
      <c r="C16" s="20" t="s">
        <v>211</v>
      </c>
      <c r="D16" s="105">
        <v>-55</v>
      </c>
      <c r="E16" s="163">
        <v>0</v>
      </c>
      <c r="F16" s="105">
        <v>5</v>
      </c>
      <c r="G16" s="163">
        <v>-1</v>
      </c>
      <c r="H16" s="105">
        <v>-10</v>
      </c>
      <c r="I16" s="163">
        <v>-1143</v>
      </c>
      <c r="J16" s="105">
        <v>-499</v>
      </c>
      <c r="K16" s="163">
        <v>-112</v>
      </c>
      <c r="L16" s="105">
        <v>-3805</v>
      </c>
      <c r="M16" s="163">
        <v>-236</v>
      </c>
      <c r="N16" s="105">
        <v>-85</v>
      </c>
      <c r="O16" s="163">
        <v>-419</v>
      </c>
      <c r="P16" s="105">
        <v>0</v>
      </c>
      <c r="Q16" s="163">
        <v>-94</v>
      </c>
      <c r="R16" s="105">
        <v>-27</v>
      </c>
      <c r="S16" s="163">
        <v>-9</v>
      </c>
      <c r="T16" s="105">
        <v>-76</v>
      </c>
      <c r="U16" s="163">
        <v>-47</v>
      </c>
      <c r="V16" s="105">
        <v>-12</v>
      </c>
      <c r="W16" s="163">
        <v>-49</v>
      </c>
      <c r="X16" s="75">
        <v>-1757</v>
      </c>
      <c r="Y16" s="171">
        <v>452</v>
      </c>
      <c r="Z16" s="75">
        <v>-7047</v>
      </c>
      <c r="AA16" s="171">
        <v>-988</v>
      </c>
      <c r="AB16" s="75">
        <v>-3850</v>
      </c>
      <c r="AC16" s="171">
        <v>-107</v>
      </c>
      <c r="AD16" s="75">
        <v>-307</v>
      </c>
      <c r="AE16" s="171">
        <v>-544</v>
      </c>
      <c r="AF16" s="75">
        <v>-17</v>
      </c>
      <c r="AG16" s="171">
        <v>-1689</v>
      </c>
      <c r="AH16" s="75">
        <v>23</v>
      </c>
      <c r="AI16" s="171">
        <v>-4800</v>
      </c>
      <c r="AJ16" s="75">
        <f>-1585</f>
        <v>-1585</v>
      </c>
      <c r="AK16" s="171">
        <f>-110</f>
        <v>-110</v>
      </c>
      <c r="AL16" s="75">
        <f>-11591--11238</f>
        <v>-353</v>
      </c>
      <c r="AM16" s="171">
        <v>-11238</v>
      </c>
      <c r="AN16" s="75">
        <v>-71</v>
      </c>
      <c r="AO16" s="171">
        <v>-2684</v>
      </c>
      <c r="AP16" s="75">
        <v>-62</v>
      </c>
      <c r="AQ16" s="171">
        <v>-76</v>
      </c>
      <c r="AR16" s="75">
        <v>-2650</v>
      </c>
      <c r="AS16" s="171">
        <v>-4173</v>
      </c>
      <c r="AT16" s="2">
        <v>-230</v>
      </c>
      <c r="AU16" s="3">
        <v>-3347</v>
      </c>
      <c r="AV16" s="2">
        <v>-864</v>
      </c>
      <c r="AW16" s="3">
        <v>-497</v>
      </c>
      <c r="AX16" s="2">
        <v>-389</v>
      </c>
      <c r="AY16" s="3">
        <v>-1043</v>
      </c>
      <c r="AZ16" s="2">
        <v>-2089</v>
      </c>
      <c r="BA16" s="3">
        <v>-172</v>
      </c>
      <c r="BB16" s="2">
        <f>-968-184</f>
        <v>-1152</v>
      </c>
      <c r="BC16" s="3">
        <v>-18</v>
      </c>
      <c r="BD16" s="2">
        <v>62</v>
      </c>
      <c r="BE16" s="3">
        <v>-1413</v>
      </c>
      <c r="BF16" s="2">
        <v>-202</v>
      </c>
      <c r="BG16" s="3">
        <v>-5</v>
      </c>
      <c r="BH16" s="2">
        <v>-98</v>
      </c>
      <c r="BI16" s="3">
        <v>-86</v>
      </c>
      <c r="BJ16" s="2">
        <v>-66</v>
      </c>
      <c r="BK16" s="3">
        <v>-7448</v>
      </c>
      <c r="BL16" s="2">
        <v>-716</v>
      </c>
      <c r="BM16" s="3">
        <v>-94</v>
      </c>
      <c r="BN16" s="2">
        <v>-8</v>
      </c>
      <c r="BO16" s="3">
        <v>-3</v>
      </c>
      <c r="BP16" s="2">
        <v>-463</v>
      </c>
      <c r="BQ16" s="3">
        <v>-9</v>
      </c>
      <c r="BR16" s="2">
        <v>-5</v>
      </c>
      <c r="BS16" s="3">
        <v>-43</v>
      </c>
    </row>
    <row r="17" spans="2:71" ht="12.75">
      <c r="B17" s="23" t="s">
        <v>23</v>
      </c>
      <c r="C17" s="20" t="s">
        <v>212</v>
      </c>
      <c r="D17" s="105">
        <v>68</v>
      </c>
      <c r="E17" s="163">
        <v>0</v>
      </c>
      <c r="F17" s="105">
        <v>7</v>
      </c>
      <c r="G17" s="163">
        <v>0</v>
      </c>
      <c r="H17" s="105">
        <v>-35</v>
      </c>
      <c r="I17" s="163">
        <v>1171</v>
      </c>
      <c r="J17" s="105">
        <v>0</v>
      </c>
      <c r="K17" s="163">
        <v>4</v>
      </c>
      <c r="L17" s="105">
        <v>6</v>
      </c>
      <c r="M17" s="163">
        <v>-49</v>
      </c>
      <c r="N17" s="105">
        <v>93</v>
      </c>
      <c r="O17" s="163">
        <v>2802</v>
      </c>
      <c r="P17" s="105">
        <v>44</v>
      </c>
      <c r="Q17" s="163">
        <v>0</v>
      </c>
      <c r="R17" s="105">
        <v>0</v>
      </c>
      <c r="S17" s="163">
        <v>0</v>
      </c>
      <c r="T17" s="105">
        <v>0</v>
      </c>
      <c r="U17" s="163">
        <v>1</v>
      </c>
      <c r="V17" s="105">
        <v>0</v>
      </c>
      <c r="W17" s="163">
        <v>0</v>
      </c>
      <c r="X17" s="129">
        <v>0</v>
      </c>
      <c r="Y17" s="123">
        <v>0</v>
      </c>
      <c r="Z17" s="129">
        <v>0</v>
      </c>
      <c r="AA17" s="123">
        <v>0</v>
      </c>
      <c r="AB17" s="129">
        <v>11</v>
      </c>
      <c r="AC17" s="123">
        <v>85</v>
      </c>
      <c r="AD17" s="129">
        <v>215</v>
      </c>
      <c r="AE17" s="123">
        <v>650</v>
      </c>
      <c r="AF17" s="129">
        <v>36</v>
      </c>
      <c r="AG17" s="123">
        <v>369</v>
      </c>
      <c r="AH17" s="129" t="s">
        <v>39</v>
      </c>
      <c r="AI17" s="123" t="s">
        <v>39</v>
      </c>
      <c r="AJ17" s="129">
        <v>5</v>
      </c>
      <c r="AK17" s="123">
        <v>3</v>
      </c>
      <c r="AL17" s="129">
        <v>11</v>
      </c>
      <c r="AM17" s="123" t="s">
        <v>39</v>
      </c>
      <c r="AN17" s="129">
        <v>289</v>
      </c>
      <c r="AO17" s="123">
        <v>7982</v>
      </c>
      <c r="AP17" s="129">
        <v>2</v>
      </c>
      <c r="AQ17" s="123">
        <v>30</v>
      </c>
      <c r="AR17" s="174">
        <v>2855</v>
      </c>
      <c r="AS17" s="123" t="s">
        <v>39</v>
      </c>
      <c r="AT17" s="37" t="s">
        <v>39</v>
      </c>
      <c r="AU17" s="3">
        <v>30</v>
      </c>
      <c r="AV17" s="2">
        <v>89</v>
      </c>
      <c r="AW17" s="3">
        <v>21</v>
      </c>
      <c r="AX17" s="2">
        <v>31</v>
      </c>
      <c r="AY17" s="3">
        <v>1370</v>
      </c>
      <c r="AZ17" s="2">
        <v>45</v>
      </c>
      <c r="BA17" s="3">
        <v>1</v>
      </c>
      <c r="BB17" s="2"/>
      <c r="BC17" s="3"/>
      <c r="BD17" s="2">
        <v>-415</v>
      </c>
      <c r="BE17" s="3">
        <v>895</v>
      </c>
      <c r="BF17" s="2"/>
      <c r="BG17" s="3"/>
      <c r="BH17" s="2">
        <v>650</v>
      </c>
      <c r="BI17" s="3">
        <v>58</v>
      </c>
      <c r="BJ17" s="2">
        <v>76</v>
      </c>
      <c r="BK17" s="3">
        <v>147</v>
      </c>
      <c r="BL17" s="2">
        <v>552</v>
      </c>
      <c r="BM17" s="3">
        <v>279</v>
      </c>
      <c r="BN17" s="2">
        <v>118</v>
      </c>
      <c r="BO17" s="3">
        <v>801</v>
      </c>
      <c r="BP17" s="2">
        <v>87</v>
      </c>
      <c r="BQ17" s="3">
        <v>1231</v>
      </c>
      <c r="BR17" s="2">
        <v>84</v>
      </c>
      <c r="BS17" s="3">
        <v>164</v>
      </c>
    </row>
    <row r="18" spans="1:71" ht="12.75">
      <c r="A18" t="s">
        <v>171</v>
      </c>
      <c r="B18" s="32" t="s">
        <v>24</v>
      </c>
      <c r="C18" s="21" t="s">
        <v>213</v>
      </c>
      <c r="D18" s="198">
        <v>1787</v>
      </c>
      <c r="E18" s="164">
        <v>3638</v>
      </c>
      <c r="F18" s="165">
        <v>2134</v>
      </c>
      <c r="G18" s="164">
        <f aca="true" t="shared" si="5" ref="G18:V18">G13+G15+G16+G17</f>
        <v>924</v>
      </c>
      <c r="H18" s="165">
        <f t="shared" si="5"/>
        <v>556</v>
      </c>
      <c r="I18" s="164">
        <f t="shared" si="5"/>
        <v>802</v>
      </c>
      <c r="J18" s="165">
        <f t="shared" si="5"/>
        <v>-543</v>
      </c>
      <c r="K18" s="164">
        <f t="shared" si="5"/>
        <v>-738</v>
      </c>
      <c r="L18" s="165">
        <f t="shared" si="5"/>
        <v>-2942</v>
      </c>
      <c r="M18" s="164">
        <f t="shared" si="5"/>
        <v>1588</v>
      </c>
      <c r="N18" s="165">
        <f t="shared" si="5"/>
        <v>362</v>
      </c>
      <c r="O18" s="164">
        <f t="shared" si="5"/>
        <v>2465</v>
      </c>
      <c r="P18" s="165">
        <f t="shared" si="5"/>
        <v>760</v>
      </c>
      <c r="Q18" s="164">
        <f t="shared" si="5"/>
        <v>453</v>
      </c>
      <c r="R18" s="165">
        <f t="shared" si="5"/>
        <v>676</v>
      </c>
      <c r="S18" s="164">
        <f t="shared" si="5"/>
        <v>-351</v>
      </c>
      <c r="T18" s="165">
        <f t="shared" si="5"/>
        <v>896</v>
      </c>
      <c r="U18" s="164">
        <f t="shared" si="5"/>
        <v>1217</v>
      </c>
      <c r="V18" s="165">
        <f t="shared" si="5"/>
        <v>343</v>
      </c>
      <c r="W18" s="172">
        <f aca="true" t="shared" si="6" ref="W18:AY18">SUM(W13:W17)</f>
        <v>-688</v>
      </c>
      <c r="X18" s="173">
        <f t="shared" si="6"/>
        <v>-547</v>
      </c>
      <c r="Y18" s="172">
        <f t="shared" si="6"/>
        <v>1932</v>
      </c>
      <c r="Z18" s="173">
        <f t="shared" si="6"/>
        <v>-6984</v>
      </c>
      <c r="AA18" s="172">
        <f t="shared" si="6"/>
        <v>-677</v>
      </c>
      <c r="AB18" s="173">
        <f t="shared" si="6"/>
        <v>-2154</v>
      </c>
      <c r="AC18" s="172">
        <f t="shared" si="6"/>
        <v>1557</v>
      </c>
      <c r="AD18" s="173">
        <f t="shared" si="6"/>
        <v>368</v>
      </c>
      <c r="AE18" s="172">
        <f t="shared" si="6"/>
        <v>1130</v>
      </c>
      <c r="AF18" s="173">
        <f t="shared" si="6"/>
        <v>160</v>
      </c>
      <c r="AG18" s="172">
        <f t="shared" si="6"/>
        <v>971</v>
      </c>
      <c r="AH18" s="173">
        <f t="shared" si="6"/>
        <v>1636</v>
      </c>
      <c r="AI18" s="172">
        <f t="shared" si="6"/>
        <v>-3622</v>
      </c>
      <c r="AJ18" s="173">
        <f t="shared" si="6"/>
        <v>1010</v>
      </c>
      <c r="AK18" s="172">
        <f t="shared" si="6"/>
        <v>2344</v>
      </c>
      <c r="AL18" s="173">
        <f t="shared" si="6"/>
        <v>2372</v>
      </c>
      <c r="AM18" s="172">
        <f t="shared" si="6"/>
        <v>-9980</v>
      </c>
      <c r="AN18" s="173">
        <f t="shared" si="6"/>
        <v>2141</v>
      </c>
      <c r="AO18" s="172">
        <f t="shared" si="6"/>
        <v>7170</v>
      </c>
      <c r="AP18" s="173">
        <f t="shared" si="6"/>
        <v>1053</v>
      </c>
      <c r="AQ18" s="172">
        <f t="shared" si="6"/>
        <v>245</v>
      </c>
      <c r="AR18" s="173">
        <f t="shared" si="6"/>
        <v>2131</v>
      </c>
      <c r="AS18" s="172">
        <f t="shared" si="6"/>
        <v>-3201</v>
      </c>
      <c r="AT18" s="4">
        <f t="shared" si="6"/>
        <v>325</v>
      </c>
      <c r="AU18" s="5">
        <f t="shared" si="6"/>
        <v>-3015</v>
      </c>
      <c r="AV18" s="4">
        <f t="shared" si="6"/>
        <v>-355</v>
      </c>
      <c r="AW18" s="5">
        <f t="shared" si="6"/>
        <v>198</v>
      </c>
      <c r="AX18" s="4">
        <f t="shared" si="6"/>
        <v>195</v>
      </c>
      <c r="AY18" s="5">
        <f t="shared" si="6"/>
        <v>307</v>
      </c>
      <c r="AZ18" s="4">
        <v>-1082</v>
      </c>
      <c r="BA18" s="5">
        <v>976</v>
      </c>
      <c r="BB18" s="4">
        <v>413</v>
      </c>
      <c r="BC18" s="5">
        <v>175</v>
      </c>
      <c r="BD18" s="4">
        <v>898</v>
      </c>
      <c r="BE18" s="5">
        <v>877</v>
      </c>
      <c r="BF18" s="4">
        <v>393</v>
      </c>
      <c r="BG18" s="5">
        <v>-162</v>
      </c>
      <c r="BH18" s="4">
        <v>2003</v>
      </c>
      <c r="BI18" s="5">
        <v>984</v>
      </c>
      <c r="BJ18" s="4">
        <v>536</v>
      </c>
      <c r="BK18" s="5">
        <v>-7196</v>
      </c>
      <c r="BL18" s="4">
        <v>64</v>
      </c>
      <c r="BM18" s="5">
        <v>-284</v>
      </c>
      <c r="BN18" s="4">
        <v>537</v>
      </c>
      <c r="BO18" s="5">
        <v>187</v>
      </c>
      <c r="BP18" s="4">
        <v>238</v>
      </c>
      <c r="BQ18" s="5">
        <v>1740</v>
      </c>
      <c r="BR18" s="4">
        <v>1016</v>
      </c>
      <c r="BS18" s="5">
        <v>-709</v>
      </c>
    </row>
    <row r="19" spans="2:71" ht="12.75">
      <c r="B19" s="23"/>
      <c r="C19" s="23"/>
      <c r="D19" s="105"/>
      <c r="E19" s="163"/>
      <c r="F19" s="105"/>
      <c r="G19" s="163"/>
      <c r="H19" s="105"/>
      <c r="I19" s="163"/>
      <c r="J19" s="105"/>
      <c r="K19" s="163"/>
      <c r="L19" s="105"/>
      <c r="M19" s="163"/>
      <c r="N19" s="105"/>
      <c r="O19" s="163"/>
      <c r="P19" s="105"/>
      <c r="Q19" s="163"/>
      <c r="R19" s="105"/>
      <c r="S19" s="163"/>
      <c r="T19" s="105"/>
      <c r="U19" s="163"/>
      <c r="V19" s="105"/>
      <c r="W19" s="163"/>
      <c r="X19" s="75"/>
      <c r="Y19" s="171"/>
      <c r="Z19" s="75"/>
      <c r="AA19" s="171"/>
      <c r="AB19" s="75"/>
      <c r="AC19" s="171"/>
      <c r="AD19" s="75"/>
      <c r="AE19" s="171"/>
      <c r="AF19" s="75"/>
      <c r="AG19" s="171"/>
      <c r="AH19" s="75"/>
      <c r="AI19" s="171"/>
      <c r="AJ19" s="75"/>
      <c r="AK19" s="171"/>
      <c r="AL19" s="75"/>
      <c r="AM19" s="171"/>
      <c r="AN19" s="75"/>
      <c r="AO19" s="171"/>
      <c r="AP19" s="75"/>
      <c r="AQ19" s="171"/>
      <c r="AR19" s="75"/>
      <c r="AS19" s="171"/>
      <c r="AT19" s="2"/>
      <c r="AU19" s="3"/>
      <c r="AV19" s="2"/>
      <c r="AW19" s="3"/>
      <c r="AX19" s="2"/>
      <c r="AY19" s="3"/>
      <c r="AZ19" s="2"/>
      <c r="BA19" s="3"/>
      <c r="BB19" s="2"/>
      <c r="BC19" s="3"/>
      <c r="BD19" s="2"/>
      <c r="BE19" s="3"/>
      <c r="BF19" s="2"/>
      <c r="BG19" s="3"/>
      <c r="BH19" s="2"/>
      <c r="BI19" s="3"/>
      <c r="BJ19" s="2"/>
      <c r="BK19" s="3"/>
      <c r="BL19" s="2"/>
      <c r="BM19" s="3"/>
      <c r="BN19" s="2"/>
      <c r="BO19" s="3"/>
      <c r="BP19" s="2"/>
      <c r="BQ19" s="3"/>
      <c r="BR19" s="2"/>
      <c r="BS19" s="3"/>
    </row>
    <row r="20" spans="2:71" ht="12.75">
      <c r="B20" s="23" t="s">
        <v>25</v>
      </c>
      <c r="C20" s="20" t="s">
        <v>214</v>
      </c>
      <c r="D20" s="175"/>
      <c r="E20" s="176" t="s">
        <v>39</v>
      </c>
      <c r="F20" s="175" t="s">
        <v>39</v>
      </c>
      <c r="G20" s="176" t="s">
        <v>39</v>
      </c>
      <c r="H20" s="175" t="s">
        <v>39</v>
      </c>
      <c r="I20" s="176" t="s">
        <v>39</v>
      </c>
      <c r="J20" s="175" t="s">
        <v>39</v>
      </c>
      <c r="K20" s="176" t="s">
        <v>39</v>
      </c>
      <c r="L20" s="175" t="s">
        <v>39</v>
      </c>
      <c r="M20" s="176" t="s">
        <v>39</v>
      </c>
      <c r="N20" s="175" t="s">
        <v>39</v>
      </c>
      <c r="O20" s="176" t="s">
        <v>39</v>
      </c>
      <c r="P20" s="177"/>
      <c r="Q20" s="176" t="s">
        <v>39</v>
      </c>
      <c r="R20" s="177"/>
      <c r="S20" s="176" t="s">
        <v>39</v>
      </c>
      <c r="T20" s="177" t="s">
        <v>39</v>
      </c>
      <c r="U20" s="176" t="s">
        <v>39</v>
      </c>
      <c r="V20" s="177" t="s">
        <v>39</v>
      </c>
      <c r="W20" s="178" t="s">
        <v>39</v>
      </c>
      <c r="X20" s="129" t="s">
        <v>39</v>
      </c>
      <c r="Y20" s="123" t="s">
        <v>39</v>
      </c>
      <c r="Z20" s="129" t="s">
        <v>39</v>
      </c>
      <c r="AA20" s="123">
        <v>1</v>
      </c>
      <c r="AB20" s="129" t="s">
        <v>39</v>
      </c>
      <c r="AC20" s="123" t="s">
        <v>39</v>
      </c>
      <c r="AD20" s="129" t="s">
        <v>39</v>
      </c>
      <c r="AE20" s="123" t="s">
        <v>39</v>
      </c>
      <c r="AF20" s="129" t="s">
        <v>39</v>
      </c>
      <c r="AG20" s="123" t="s">
        <v>39</v>
      </c>
      <c r="AH20" s="129" t="s">
        <v>39</v>
      </c>
      <c r="AI20" s="123" t="s">
        <v>39</v>
      </c>
      <c r="AJ20" s="129" t="s">
        <v>39</v>
      </c>
      <c r="AK20" s="123" t="s">
        <v>39</v>
      </c>
      <c r="AL20" s="129">
        <v>18</v>
      </c>
      <c r="AM20" s="123" t="s">
        <v>39</v>
      </c>
      <c r="AN20" s="129" t="s">
        <v>39</v>
      </c>
      <c r="AO20" s="123" t="s">
        <v>39</v>
      </c>
      <c r="AP20" s="129" t="s">
        <v>39</v>
      </c>
      <c r="AQ20" s="123" t="s">
        <v>39</v>
      </c>
      <c r="AR20" s="75">
        <v>4579</v>
      </c>
      <c r="AS20" s="123" t="s">
        <v>39</v>
      </c>
      <c r="AT20" s="36" t="s">
        <v>39</v>
      </c>
      <c r="AU20" s="53" t="s">
        <v>39</v>
      </c>
      <c r="AV20" s="36" t="s">
        <v>39</v>
      </c>
      <c r="AW20" s="53" t="s">
        <v>39</v>
      </c>
      <c r="AX20" s="36" t="s">
        <v>39</v>
      </c>
      <c r="AY20" s="53" t="s">
        <v>39</v>
      </c>
      <c r="AZ20" s="36" t="s">
        <v>39</v>
      </c>
      <c r="BA20" s="53" t="s">
        <v>39</v>
      </c>
      <c r="BB20" s="36" t="s">
        <v>39</v>
      </c>
      <c r="BC20" s="53" t="s">
        <v>39</v>
      </c>
      <c r="BD20" s="36" t="s">
        <v>39</v>
      </c>
      <c r="BE20" s="53" t="s">
        <v>39</v>
      </c>
      <c r="BF20" s="36" t="s">
        <v>39</v>
      </c>
      <c r="BG20" s="53" t="s">
        <v>39</v>
      </c>
      <c r="BH20" s="36" t="s">
        <v>39</v>
      </c>
      <c r="BI20" s="53" t="s">
        <v>39</v>
      </c>
      <c r="BJ20" s="36" t="s">
        <v>39</v>
      </c>
      <c r="BK20" s="53" t="s">
        <v>39</v>
      </c>
      <c r="BL20" s="36" t="s">
        <v>39</v>
      </c>
      <c r="BM20" s="53" t="s">
        <v>39</v>
      </c>
      <c r="BN20" s="36" t="s">
        <v>39</v>
      </c>
      <c r="BO20" s="53" t="s">
        <v>39</v>
      </c>
      <c r="BP20" s="2">
        <v>1372</v>
      </c>
      <c r="BQ20" s="53" t="s">
        <v>39</v>
      </c>
      <c r="BR20" s="36" t="s">
        <v>39</v>
      </c>
      <c r="BS20" s="53" t="s">
        <v>39</v>
      </c>
    </row>
    <row r="21" spans="2:71" ht="12.75">
      <c r="B21" s="23" t="s">
        <v>124</v>
      </c>
      <c r="C21" s="80" t="s">
        <v>233</v>
      </c>
      <c r="D21" s="105"/>
      <c r="E21" s="163">
        <v>0</v>
      </c>
      <c r="F21" s="105">
        <v>0</v>
      </c>
      <c r="G21" s="163">
        <v>0</v>
      </c>
      <c r="H21" s="105">
        <v>0</v>
      </c>
      <c r="I21" s="163">
        <v>0</v>
      </c>
      <c r="J21" s="105">
        <v>21</v>
      </c>
      <c r="K21" s="163">
        <v>7</v>
      </c>
      <c r="L21" s="105">
        <v>1</v>
      </c>
      <c r="M21" s="163">
        <v>5</v>
      </c>
      <c r="N21" s="105">
        <v>3</v>
      </c>
      <c r="O21" s="163">
        <v>46</v>
      </c>
      <c r="P21" s="105">
        <v>15</v>
      </c>
      <c r="Q21" s="163">
        <v>2</v>
      </c>
      <c r="R21" s="105">
        <v>3</v>
      </c>
      <c r="S21" s="163">
        <v>59</v>
      </c>
      <c r="T21" s="105">
        <v>7</v>
      </c>
      <c r="U21" s="163">
        <v>3</v>
      </c>
      <c r="V21" s="105">
        <v>1</v>
      </c>
      <c r="W21" s="163">
        <v>2</v>
      </c>
      <c r="X21" s="129">
        <v>6</v>
      </c>
      <c r="Y21" s="123">
        <v>2</v>
      </c>
      <c r="Z21" s="129">
        <v>3</v>
      </c>
      <c r="AA21" s="123">
        <v>4</v>
      </c>
      <c r="AB21" s="129">
        <v>4</v>
      </c>
      <c r="AC21" s="123">
        <v>7</v>
      </c>
      <c r="AD21" s="129">
        <v>4</v>
      </c>
      <c r="AE21" s="123">
        <v>1</v>
      </c>
      <c r="AF21" s="129" t="s">
        <v>39</v>
      </c>
      <c r="AG21" s="123">
        <v>2</v>
      </c>
      <c r="AH21" s="129">
        <v>3</v>
      </c>
      <c r="AI21" s="123" t="s">
        <v>39</v>
      </c>
      <c r="AJ21" s="129" t="s">
        <v>39</v>
      </c>
      <c r="AK21" s="123" t="s">
        <v>39</v>
      </c>
      <c r="AL21" s="129">
        <v>-18</v>
      </c>
      <c r="AM21" s="123"/>
      <c r="AN21" s="129"/>
      <c r="AO21" s="123"/>
      <c r="AP21" s="129"/>
      <c r="AQ21" s="123"/>
      <c r="AR21" s="75"/>
      <c r="AS21" s="123"/>
      <c r="AT21" s="36"/>
      <c r="AU21" s="53"/>
      <c r="AV21" s="36"/>
      <c r="AW21" s="53"/>
      <c r="AX21" s="36"/>
      <c r="AY21" s="53"/>
      <c r="AZ21" s="36"/>
      <c r="BA21" s="53"/>
      <c r="BB21" s="36"/>
      <c r="BC21" s="53"/>
      <c r="BD21" s="36"/>
      <c r="BE21" s="53"/>
      <c r="BF21" s="36"/>
      <c r="BG21" s="53"/>
      <c r="BH21" s="36"/>
      <c r="BI21" s="53"/>
      <c r="BJ21" s="36"/>
      <c r="BK21" s="53"/>
      <c r="BL21" s="36"/>
      <c r="BM21" s="53"/>
      <c r="BN21" s="36"/>
      <c r="BO21" s="53"/>
      <c r="BP21" s="2"/>
      <c r="BQ21" s="53"/>
      <c r="BR21" s="36"/>
      <c r="BS21" s="53"/>
    </row>
    <row r="22" spans="2:71" ht="12.75">
      <c r="B22" s="23" t="s">
        <v>105</v>
      </c>
      <c r="C22" s="83" t="s">
        <v>215</v>
      </c>
      <c r="D22" s="175"/>
      <c r="E22" s="176" t="s">
        <v>39</v>
      </c>
      <c r="F22" s="175" t="s">
        <v>39</v>
      </c>
      <c r="G22" s="176" t="s">
        <v>39</v>
      </c>
      <c r="H22" s="175" t="s">
        <v>39</v>
      </c>
      <c r="I22" s="176" t="s">
        <v>39</v>
      </c>
      <c r="J22" s="175" t="s">
        <v>39</v>
      </c>
      <c r="K22" s="176" t="s">
        <v>39</v>
      </c>
      <c r="L22" s="175" t="s">
        <v>39</v>
      </c>
      <c r="M22" s="176" t="s">
        <v>39</v>
      </c>
      <c r="N22" s="175" t="s">
        <v>39</v>
      </c>
      <c r="O22" s="176" t="s">
        <v>39</v>
      </c>
      <c r="P22" s="177"/>
      <c r="Q22" s="176" t="s">
        <v>39</v>
      </c>
      <c r="R22" s="177"/>
      <c r="S22" s="176" t="s">
        <v>39</v>
      </c>
      <c r="T22" s="177" t="s">
        <v>39</v>
      </c>
      <c r="U22" s="176" t="s">
        <v>39</v>
      </c>
      <c r="V22" s="177" t="s">
        <v>39</v>
      </c>
      <c r="W22" s="178" t="s">
        <v>39</v>
      </c>
      <c r="X22" s="129" t="s">
        <v>39</v>
      </c>
      <c r="Y22" s="123" t="s">
        <v>39</v>
      </c>
      <c r="Z22" s="129" t="s">
        <v>39</v>
      </c>
      <c r="AA22" s="123" t="s">
        <v>39</v>
      </c>
      <c r="AB22" s="129" t="s">
        <v>39</v>
      </c>
      <c r="AC22" s="123">
        <v>723</v>
      </c>
      <c r="AD22" s="129" t="s">
        <v>39</v>
      </c>
      <c r="AE22" s="123" t="s">
        <v>39</v>
      </c>
      <c r="AF22" s="129" t="s">
        <v>39</v>
      </c>
      <c r="AG22" s="123" t="s">
        <v>39</v>
      </c>
      <c r="AH22" s="129" t="s">
        <v>39</v>
      </c>
      <c r="AI22" s="123" t="s">
        <v>39</v>
      </c>
      <c r="AJ22" s="129" t="s">
        <v>39</v>
      </c>
      <c r="AK22" s="123" t="s">
        <v>39</v>
      </c>
      <c r="AL22" s="129" t="s">
        <v>39</v>
      </c>
      <c r="AM22" s="123" t="s">
        <v>39</v>
      </c>
      <c r="AN22" s="129" t="s">
        <v>39</v>
      </c>
      <c r="AO22" s="123">
        <v>15</v>
      </c>
      <c r="AP22" s="129" t="s">
        <v>39</v>
      </c>
      <c r="AQ22" s="123" t="s">
        <v>39</v>
      </c>
      <c r="AR22" s="129" t="s">
        <v>39</v>
      </c>
      <c r="AS22" s="123" t="s">
        <v>39</v>
      </c>
      <c r="AT22" s="36" t="s">
        <v>39</v>
      </c>
      <c r="AU22" s="53" t="s">
        <v>39</v>
      </c>
      <c r="AV22" s="36" t="s">
        <v>39</v>
      </c>
      <c r="AW22" s="53" t="s">
        <v>39</v>
      </c>
      <c r="AX22" s="36" t="s">
        <v>39</v>
      </c>
      <c r="AY22" s="53" t="s">
        <v>39</v>
      </c>
      <c r="AZ22" s="36" t="s">
        <v>39</v>
      </c>
      <c r="BA22" s="53" t="s">
        <v>39</v>
      </c>
      <c r="BB22" s="36" t="s">
        <v>39</v>
      </c>
      <c r="BC22" s="53" t="s">
        <v>39</v>
      </c>
      <c r="BD22" s="36" t="s">
        <v>39</v>
      </c>
      <c r="BE22" s="53" t="s">
        <v>39</v>
      </c>
      <c r="BF22" s="36" t="s">
        <v>39</v>
      </c>
      <c r="BG22" s="53" t="s">
        <v>39</v>
      </c>
      <c r="BH22" s="36" t="s">
        <v>39</v>
      </c>
      <c r="BI22" s="53" t="s">
        <v>39</v>
      </c>
      <c r="BJ22" s="36" t="s">
        <v>39</v>
      </c>
      <c r="BK22" s="53" t="s">
        <v>39</v>
      </c>
      <c r="BL22" s="36" t="s">
        <v>39</v>
      </c>
      <c r="BM22" s="53" t="s">
        <v>39</v>
      </c>
      <c r="BN22" s="36" t="s">
        <v>39</v>
      </c>
      <c r="BO22" s="53" t="s">
        <v>39</v>
      </c>
      <c r="BP22" s="36" t="s">
        <v>39</v>
      </c>
      <c r="BQ22" s="53" t="s">
        <v>39</v>
      </c>
      <c r="BR22" s="2">
        <v>58</v>
      </c>
      <c r="BS22" s="3">
        <v>51</v>
      </c>
    </row>
    <row r="23" spans="2:71" ht="12.75">
      <c r="B23" s="23" t="s">
        <v>26</v>
      </c>
      <c r="C23" s="23" t="s">
        <v>216</v>
      </c>
      <c r="D23" s="105">
        <v>1</v>
      </c>
      <c r="E23" s="163">
        <v>-41</v>
      </c>
      <c r="F23" s="105">
        <v>-2458</v>
      </c>
      <c r="G23" s="176">
        <v>0</v>
      </c>
      <c r="H23" s="175">
        <v>-1</v>
      </c>
      <c r="I23" s="176">
        <v>-36</v>
      </c>
      <c r="J23" s="175">
        <v>-3091</v>
      </c>
      <c r="K23" s="176">
        <v>0</v>
      </c>
      <c r="L23" s="175">
        <v>-35</v>
      </c>
      <c r="M23" s="176">
        <v>-97</v>
      </c>
      <c r="N23" s="175">
        <v>-2807</v>
      </c>
      <c r="O23" s="176" t="s">
        <v>39</v>
      </c>
      <c r="P23" s="105">
        <v>-2</v>
      </c>
      <c r="Q23" s="176">
        <v>-49</v>
      </c>
      <c r="R23" s="105">
        <v>-2574</v>
      </c>
      <c r="S23" s="176" t="s">
        <v>39</v>
      </c>
      <c r="T23" s="105">
        <v>-2</v>
      </c>
      <c r="U23" s="163">
        <v>-21</v>
      </c>
      <c r="V23" s="105">
        <v>-2455</v>
      </c>
      <c r="W23" s="163">
        <v>0</v>
      </c>
      <c r="X23" s="129">
        <v>0</v>
      </c>
      <c r="Y23" s="123">
        <v>-21</v>
      </c>
      <c r="Z23" s="129">
        <v>-2450</v>
      </c>
      <c r="AA23" s="123" t="s">
        <v>39</v>
      </c>
      <c r="AB23" s="129" t="s">
        <v>39</v>
      </c>
      <c r="AC23" s="123">
        <v>-19</v>
      </c>
      <c r="AD23" s="129">
        <v>-2216</v>
      </c>
      <c r="AE23" s="123" t="s">
        <v>39</v>
      </c>
      <c r="AF23" s="129" t="s">
        <v>39</v>
      </c>
      <c r="AG23" s="123">
        <v>-20</v>
      </c>
      <c r="AH23" s="129">
        <v>-2016</v>
      </c>
      <c r="AI23" s="123" t="s">
        <v>39</v>
      </c>
      <c r="AJ23" s="129"/>
      <c r="AK23" s="123">
        <f>-1806--1786</f>
        <v>-20</v>
      </c>
      <c r="AL23" s="129">
        <v>-1786</v>
      </c>
      <c r="AM23" s="123" t="s">
        <v>39</v>
      </c>
      <c r="AN23" s="129" t="s">
        <v>39</v>
      </c>
      <c r="AO23" s="123">
        <v>-19</v>
      </c>
      <c r="AP23" s="129">
        <v>-1566</v>
      </c>
      <c r="AQ23" s="123" t="s">
        <v>39</v>
      </c>
      <c r="AR23" s="129" t="s">
        <v>39</v>
      </c>
      <c r="AS23" s="171">
        <v>-21</v>
      </c>
      <c r="AT23" s="2">
        <v>-1283</v>
      </c>
      <c r="AU23" s="53" t="s">
        <v>39</v>
      </c>
      <c r="AV23" s="36" t="s">
        <v>39</v>
      </c>
      <c r="AW23" s="53" t="s">
        <v>39</v>
      </c>
      <c r="AX23" s="2">
        <v>-1145</v>
      </c>
      <c r="AY23" s="53" t="s">
        <v>39</v>
      </c>
      <c r="AZ23" s="36" t="s">
        <v>39</v>
      </c>
      <c r="BA23" s="53" t="s">
        <v>39</v>
      </c>
      <c r="BB23" s="2">
        <v>-1092</v>
      </c>
      <c r="BC23" s="53" t="s">
        <v>39</v>
      </c>
      <c r="BD23" s="36" t="s">
        <v>39</v>
      </c>
      <c r="BE23" s="53" t="s">
        <v>39</v>
      </c>
      <c r="BF23" s="2">
        <v>-994</v>
      </c>
      <c r="BG23" s="53" t="s">
        <v>39</v>
      </c>
      <c r="BH23" s="36" t="s">
        <v>39</v>
      </c>
      <c r="BI23" s="53" t="s">
        <v>39</v>
      </c>
      <c r="BJ23" s="2">
        <v>-727</v>
      </c>
      <c r="BK23" s="53" t="s">
        <v>39</v>
      </c>
      <c r="BL23" s="36" t="s">
        <v>39</v>
      </c>
      <c r="BM23" s="53" t="s">
        <v>39</v>
      </c>
      <c r="BN23" s="2">
        <v>-659</v>
      </c>
      <c r="BO23" s="53" t="s">
        <v>39</v>
      </c>
      <c r="BP23" s="36" t="s">
        <v>39</v>
      </c>
      <c r="BQ23" s="53" t="s">
        <v>39</v>
      </c>
      <c r="BR23" s="2">
        <v>-557</v>
      </c>
      <c r="BS23" s="53" t="s">
        <v>39</v>
      </c>
    </row>
    <row r="24" spans="1:71" ht="12.75">
      <c r="A24" t="s">
        <v>171</v>
      </c>
      <c r="B24" s="32" t="s">
        <v>27</v>
      </c>
      <c r="C24" s="21" t="s">
        <v>217</v>
      </c>
      <c r="D24" s="198">
        <v>1788</v>
      </c>
      <c r="E24" s="164">
        <v>3597</v>
      </c>
      <c r="F24" s="165">
        <v>-324</v>
      </c>
      <c r="G24" s="164">
        <f aca="true" t="shared" si="7" ref="G24:N24">G18+G21+G23</f>
        <v>924</v>
      </c>
      <c r="H24" s="165">
        <f t="shared" si="7"/>
        <v>555</v>
      </c>
      <c r="I24" s="164">
        <f t="shared" si="7"/>
        <v>766</v>
      </c>
      <c r="J24" s="165">
        <f t="shared" si="7"/>
        <v>-3613</v>
      </c>
      <c r="K24" s="164">
        <f t="shared" si="7"/>
        <v>-731</v>
      </c>
      <c r="L24" s="165">
        <f t="shared" si="7"/>
        <v>-2976</v>
      </c>
      <c r="M24" s="164">
        <f t="shared" si="7"/>
        <v>1496</v>
      </c>
      <c r="N24" s="165">
        <f t="shared" si="7"/>
        <v>-2442</v>
      </c>
      <c r="O24" s="164">
        <f>O18+O21</f>
        <v>2511</v>
      </c>
      <c r="P24" s="165">
        <f>P18+P21+P23</f>
        <v>773</v>
      </c>
      <c r="Q24" s="164">
        <f>Q18+Q21+Q23</f>
        <v>406</v>
      </c>
      <c r="R24" s="165">
        <f>R18+R21+R23</f>
        <v>-1895</v>
      </c>
      <c r="S24" s="164">
        <f>S18+S21</f>
        <v>-292</v>
      </c>
      <c r="T24" s="165">
        <f>T18+T21+T23</f>
        <v>901</v>
      </c>
      <c r="U24" s="164">
        <f>U18+U21+U23</f>
        <v>1199</v>
      </c>
      <c r="V24" s="165">
        <f>V18+V21+V23</f>
        <v>-2111</v>
      </c>
      <c r="W24" s="172">
        <f aca="true" t="shared" si="8" ref="W24:AY24">SUM(W18:W23)</f>
        <v>-686</v>
      </c>
      <c r="X24" s="173">
        <f t="shared" si="8"/>
        <v>-541</v>
      </c>
      <c r="Y24" s="172">
        <f t="shared" si="8"/>
        <v>1913</v>
      </c>
      <c r="Z24" s="173">
        <f t="shared" si="8"/>
        <v>-9431</v>
      </c>
      <c r="AA24" s="172">
        <f t="shared" si="8"/>
        <v>-672</v>
      </c>
      <c r="AB24" s="173">
        <f t="shared" si="8"/>
        <v>-2150</v>
      </c>
      <c r="AC24" s="172">
        <f t="shared" si="8"/>
        <v>2268</v>
      </c>
      <c r="AD24" s="173">
        <f t="shared" si="8"/>
        <v>-1844</v>
      </c>
      <c r="AE24" s="172">
        <f t="shared" si="8"/>
        <v>1131</v>
      </c>
      <c r="AF24" s="173">
        <f t="shared" si="8"/>
        <v>160</v>
      </c>
      <c r="AG24" s="172">
        <f t="shared" si="8"/>
        <v>953</v>
      </c>
      <c r="AH24" s="173">
        <f t="shared" si="8"/>
        <v>-377</v>
      </c>
      <c r="AI24" s="172">
        <f t="shared" si="8"/>
        <v>-3622</v>
      </c>
      <c r="AJ24" s="173">
        <f t="shared" si="8"/>
        <v>1010</v>
      </c>
      <c r="AK24" s="172">
        <f t="shared" si="8"/>
        <v>2324</v>
      </c>
      <c r="AL24" s="173">
        <f t="shared" si="8"/>
        <v>586</v>
      </c>
      <c r="AM24" s="172">
        <f t="shared" si="8"/>
        <v>-9980</v>
      </c>
      <c r="AN24" s="173">
        <f t="shared" si="8"/>
        <v>2141</v>
      </c>
      <c r="AO24" s="172">
        <f t="shared" si="8"/>
        <v>7166</v>
      </c>
      <c r="AP24" s="173">
        <f t="shared" si="8"/>
        <v>-513</v>
      </c>
      <c r="AQ24" s="172">
        <f t="shared" si="8"/>
        <v>245</v>
      </c>
      <c r="AR24" s="173">
        <f t="shared" si="8"/>
        <v>6710</v>
      </c>
      <c r="AS24" s="172">
        <f t="shared" si="8"/>
        <v>-3222</v>
      </c>
      <c r="AT24" s="4">
        <f t="shared" si="8"/>
        <v>-958</v>
      </c>
      <c r="AU24" s="5">
        <f t="shared" si="8"/>
        <v>-3015</v>
      </c>
      <c r="AV24" s="4">
        <f t="shared" si="8"/>
        <v>-355</v>
      </c>
      <c r="AW24" s="5">
        <f t="shared" si="8"/>
        <v>198</v>
      </c>
      <c r="AX24" s="4">
        <f t="shared" si="8"/>
        <v>-950</v>
      </c>
      <c r="AY24" s="5">
        <f t="shared" si="8"/>
        <v>307</v>
      </c>
      <c r="AZ24" s="4">
        <v>-1082</v>
      </c>
      <c r="BA24" s="5">
        <v>976</v>
      </c>
      <c r="BB24" s="4">
        <v>-679</v>
      </c>
      <c r="BC24" s="5">
        <v>175</v>
      </c>
      <c r="BD24" s="4">
        <v>898</v>
      </c>
      <c r="BE24" s="5">
        <v>877</v>
      </c>
      <c r="BF24" s="4">
        <v>-601</v>
      </c>
      <c r="BG24" s="5">
        <v>-162</v>
      </c>
      <c r="BH24" s="4">
        <v>2003</v>
      </c>
      <c r="BI24" s="5">
        <v>984</v>
      </c>
      <c r="BJ24" s="4">
        <v>-191</v>
      </c>
      <c r="BK24" s="5">
        <v>-7196</v>
      </c>
      <c r="BL24" s="4">
        <v>64</v>
      </c>
      <c r="BM24" s="5">
        <v>-284</v>
      </c>
      <c r="BN24" s="4">
        <v>-122</v>
      </c>
      <c r="BO24" s="5">
        <v>187</v>
      </c>
      <c r="BP24" s="4">
        <v>1610</v>
      </c>
      <c r="BQ24" s="5">
        <v>1740</v>
      </c>
      <c r="BR24" s="4">
        <v>517</v>
      </c>
      <c r="BS24" s="5">
        <v>-658</v>
      </c>
    </row>
    <row r="25" spans="2:71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2:71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2:74" ht="12.75">
      <c r="B27" s="1" t="s">
        <v>106</v>
      </c>
      <c r="C27" s="1" t="s">
        <v>218</v>
      </c>
      <c r="D27" s="65" t="str">
        <f aca="true" t="shared" si="9" ref="D27:I27">D3</f>
        <v>091230</v>
      </c>
      <c r="E27" s="65" t="str">
        <f t="shared" si="9"/>
        <v>090930</v>
      </c>
      <c r="F27" s="65" t="str">
        <f t="shared" si="9"/>
        <v>090630</v>
      </c>
      <c r="G27" s="65" t="str">
        <f t="shared" si="9"/>
        <v>090331</v>
      </c>
      <c r="H27" s="65" t="str">
        <f t="shared" si="9"/>
        <v>081231</v>
      </c>
      <c r="I27" s="65" t="str">
        <f t="shared" si="9"/>
        <v>080930</v>
      </c>
      <c r="J27" s="65" t="str">
        <f aca="true" t="shared" si="10" ref="J27:O27">J3</f>
        <v>080631</v>
      </c>
      <c r="K27" s="65" t="str">
        <f t="shared" si="10"/>
        <v>080331</v>
      </c>
      <c r="L27" s="65" t="str">
        <f t="shared" si="10"/>
        <v>071231</v>
      </c>
      <c r="M27" s="65" t="str">
        <f t="shared" si="10"/>
        <v>070930</v>
      </c>
      <c r="N27" s="65" t="str">
        <f t="shared" si="10"/>
        <v>070630</v>
      </c>
      <c r="O27" s="65" t="str">
        <f t="shared" si="10"/>
        <v>070331</v>
      </c>
      <c r="P27" s="65" t="str">
        <f aca="true" t="shared" si="11" ref="P27:U27">P3</f>
        <v>061231</v>
      </c>
      <c r="Q27" s="65" t="str">
        <f t="shared" si="11"/>
        <v>060930</v>
      </c>
      <c r="R27" s="65" t="str">
        <f t="shared" si="11"/>
        <v>060630</v>
      </c>
      <c r="S27" s="65" t="str">
        <f t="shared" si="11"/>
        <v>060331</v>
      </c>
      <c r="T27" s="65" t="str">
        <f t="shared" si="11"/>
        <v>051231</v>
      </c>
      <c r="U27" s="65" t="str">
        <f t="shared" si="11"/>
        <v>050930</v>
      </c>
      <c r="V27" s="65" t="s">
        <v>156</v>
      </c>
      <c r="W27" s="65" t="str">
        <f>W3</f>
        <v>050331</v>
      </c>
      <c r="X27" s="57" t="str">
        <f>X3</f>
        <v>041231</v>
      </c>
      <c r="Y27" s="60" t="str">
        <f aca="true" t="shared" si="12" ref="Y27:AD27">Y3</f>
        <v>040930</v>
      </c>
      <c r="Z27" s="57" t="str">
        <f t="shared" si="12"/>
        <v>040630</v>
      </c>
      <c r="AA27" s="60" t="str">
        <f t="shared" si="12"/>
        <v>040331</v>
      </c>
      <c r="AB27" s="57" t="str">
        <f t="shared" si="12"/>
        <v>031231</v>
      </c>
      <c r="AC27" s="60" t="str">
        <f t="shared" si="12"/>
        <v>030930</v>
      </c>
      <c r="AD27" s="57" t="str">
        <f t="shared" si="12"/>
        <v>030630</v>
      </c>
      <c r="AE27" s="60" t="s">
        <v>123</v>
      </c>
      <c r="AF27" s="60" t="s">
        <v>119</v>
      </c>
      <c r="AG27" s="60" t="s">
        <v>118</v>
      </c>
      <c r="AH27" s="60" t="s">
        <v>117</v>
      </c>
      <c r="AI27" s="60" t="s">
        <v>116</v>
      </c>
      <c r="AJ27" s="60" t="s">
        <v>113</v>
      </c>
      <c r="AK27" s="60" t="s">
        <v>111</v>
      </c>
      <c r="AL27" s="60" t="s">
        <v>110</v>
      </c>
      <c r="AM27" s="60" t="s">
        <v>109</v>
      </c>
      <c r="AN27" s="60" t="s">
        <v>107</v>
      </c>
      <c r="AO27" s="57" t="s">
        <v>104</v>
      </c>
      <c r="AP27" s="57" t="s">
        <v>103</v>
      </c>
      <c r="AQ27" s="57" t="s">
        <v>102</v>
      </c>
      <c r="AR27" s="72">
        <v>991231</v>
      </c>
      <c r="AS27" s="65">
        <v>990930</v>
      </c>
      <c r="AT27" s="72">
        <v>990630</v>
      </c>
      <c r="AU27" s="65">
        <v>990331</v>
      </c>
      <c r="AV27" s="65">
        <v>981231</v>
      </c>
      <c r="AW27" s="65">
        <v>980930</v>
      </c>
      <c r="AX27" s="72">
        <v>980630</v>
      </c>
      <c r="AY27" s="72">
        <v>980331</v>
      </c>
      <c r="AZ27" s="72">
        <v>971231</v>
      </c>
      <c r="BA27" s="72">
        <v>970930</v>
      </c>
      <c r="BB27" s="65">
        <v>970630</v>
      </c>
      <c r="BC27" s="65">
        <v>970331</v>
      </c>
      <c r="BD27" s="65">
        <v>961231</v>
      </c>
      <c r="BE27" s="65">
        <v>960930</v>
      </c>
      <c r="BF27" s="65">
        <v>960630</v>
      </c>
      <c r="BG27" s="65">
        <v>960331</v>
      </c>
      <c r="BH27" s="65">
        <v>951231</v>
      </c>
      <c r="BI27" s="65">
        <v>950930</v>
      </c>
      <c r="BJ27" s="65">
        <v>950630</v>
      </c>
      <c r="BK27" s="65">
        <v>950331</v>
      </c>
      <c r="BL27" s="65">
        <v>941231</v>
      </c>
      <c r="BM27" s="65">
        <v>940930</v>
      </c>
      <c r="BN27" s="65">
        <v>940630</v>
      </c>
      <c r="BO27" s="65">
        <v>940331</v>
      </c>
      <c r="BP27" s="65">
        <v>931231</v>
      </c>
      <c r="BQ27" s="65">
        <v>930930</v>
      </c>
      <c r="BR27" s="65">
        <v>930630</v>
      </c>
      <c r="BS27" s="65">
        <v>930331</v>
      </c>
      <c r="BT27" s="73"/>
      <c r="BU27" s="73"/>
      <c r="BV27" s="73"/>
    </row>
    <row r="28" spans="2:71" ht="12.75">
      <c r="B28" s="33" t="s">
        <v>36</v>
      </c>
      <c r="C28" s="33" t="s">
        <v>219</v>
      </c>
      <c r="D28" s="180">
        <v>-47002</v>
      </c>
      <c r="E28" s="179">
        <v>-47002</v>
      </c>
      <c r="F28" s="180">
        <v>-47002</v>
      </c>
      <c r="G28" s="179">
        <v>-47002</v>
      </c>
      <c r="H28" s="180">
        <v>-37368</v>
      </c>
      <c r="I28" s="179">
        <v>-37368</v>
      </c>
      <c r="J28" s="180">
        <v>-37368</v>
      </c>
      <c r="K28" s="179">
        <v>-37368</v>
      </c>
      <c r="L28" s="180">
        <v>-36399</v>
      </c>
      <c r="M28" s="179">
        <v>-36399</v>
      </c>
      <c r="N28" s="180">
        <v>-36399</v>
      </c>
      <c r="O28" s="179">
        <v>-36399</v>
      </c>
      <c r="P28" s="180">
        <f>Q28</f>
        <v>-39826</v>
      </c>
      <c r="Q28" s="179">
        <v>-39826</v>
      </c>
      <c r="R28" s="180">
        <f>S28</f>
        <v>-39826</v>
      </c>
      <c r="S28" s="179">
        <v>-39826</v>
      </c>
      <c r="T28" s="180">
        <f>U28</f>
        <v>-35823</v>
      </c>
      <c r="U28" s="179">
        <f>V28</f>
        <v>-35823</v>
      </c>
      <c r="V28" s="180">
        <v>-35823</v>
      </c>
      <c r="W28" s="179">
        <v>-35823</v>
      </c>
      <c r="X28" s="180">
        <f>Y28</f>
        <v>-26533</v>
      </c>
      <c r="Y28" s="164">
        <f>Z28</f>
        <v>-26533</v>
      </c>
      <c r="Z28" s="181">
        <f>AA28</f>
        <v>-26533</v>
      </c>
      <c r="AA28" s="164">
        <v>-26533</v>
      </c>
      <c r="AB28" s="173">
        <v>-23899</v>
      </c>
      <c r="AC28" s="172">
        <v>-23899</v>
      </c>
      <c r="AD28" s="173">
        <v>-23899</v>
      </c>
      <c r="AE28" s="172">
        <v>-23899</v>
      </c>
      <c r="AF28" s="173">
        <v>-23861</v>
      </c>
      <c r="AG28" s="172">
        <v>-23861</v>
      </c>
      <c r="AH28" s="173">
        <v>-23861</v>
      </c>
      <c r="AI28" s="172">
        <v>-23861</v>
      </c>
      <c r="AJ28" s="173">
        <v>-15880</v>
      </c>
      <c r="AK28" s="172">
        <v>-15880</v>
      </c>
      <c r="AL28" s="173">
        <v>-15880</v>
      </c>
      <c r="AM28" s="172">
        <v>-15880</v>
      </c>
      <c r="AN28" s="173">
        <v>-24073</v>
      </c>
      <c r="AO28" s="172">
        <v>-24073</v>
      </c>
      <c r="AP28" s="173">
        <v>-24073</v>
      </c>
      <c r="AQ28" s="172">
        <v>-24073</v>
      </c>
      <c r="AR28" s="173">
        <v>-21370</v>
      </c>
      <c r="AS28" s="172">
        <v>-21370</v>
      </c>
      <c r="AT28" s="4">
        <v>-21370</v>
      </c>
      <c r="AU28" s="5">
        <v>-21370</v>
      </c>
      <c r="AV28" s="4">
        <v>-19018</v>
      </c>
      <c r="AW28" s="5">
        <v>-19018</v>
      </c>
      <c r="AX28" s="4">
        <v>-19018</v>
      </c>
      <c r="AY28" s="5">
        <v>-19018</v>
      </c>
      <c r="AZ28" s="4">
        <v>-17462</v>
      </c>
      <c r="BA28" s="5">
        <v>-17462</v>
      </c>
      <c r="BB28" s="4">
        <v>-17462</v>
      </c>
      <c r="BC28" s="5">
        <v>-17462</v>
      </c>
      <c r="BD28" s="4">
        <v>-17566</v>
      </c>
      <c r="BE28" s="5">
        <v>-17566</v>
      </c>
      <c r="BF28" s="4">
        <v>-17566</v>
      </c>
      <c r="BG28" s="5">
        <v>-17566</v>
      </c>
      <c r="BH28" s="4">
        <v>-10573</v>
      </c>
      <c r="BI28" s="5">
        <v>-10573</v>
      </c>
      <c r="BJ28" s="4">
        <v>-10573</v>
      </c>
      <c r="BK28" s="5">
        <v>-10573</v>
      </c>
      <c r="BL28" s="4">
        <v>-10814</v>
      </c>
      <c r="BM28" s="5">
        <v>-10814</v>
      </c>
      <c r="BN28" s="4">
        <v>-10814</v>
      </c>
      <c r="BO28" s="5">
        <v>-10814</v>
      </c>
      <c r="BP28" s="4">
        <v>-10799</v>
      </c>
      <c r="BQ28" s="5">
        <v>-10799</v>
      </c>
      <c r="BR28" s="4">
        <v>-10799</v>
      </c>
      <c r="BS28" s="5">
        <v>-10799</v>
      </c>
    </row>
    <row r="29" spans="2:71" ht="12.75">
      <c r="B29" s="34" t="s">
        <v>27</v>
      </c>
      <c r="C29" s="24" t="s">
        <v>217</v>
      </c>
      <c r="D29" s="75">
        <v>5985</v>
      </c>
      <c r="E29" s="182">
        <v>4197</v>
      </c>
      <c r="F29" s="183">
        <v>600</v>
      </c>
      <c r="G29" s="182">
        <v>924</v>
      </c>
      <c r="H29" s="183">
        <v>-3023</v>
      </c>
      <c r="I29" s="182">
        <v>-3578</v>
      </c>
      <c r="J29" s="183">
        <v>-4344</v>
      </c>
      <c r="K29" s="182">
        <v>-731</v>
      </c>
      <c r="L29" s="183">
        <v>-1411</v>
      </c>
      <c r="M29" s="182">
        <v>1565</v>
      </c>
      <c r="N29" s="183">
        <v>69</v>
      </c>
      <c r="O29" s="182">
        <v>2511</v>
      </c>
      <c r="P29" s="183">
        <f>P24+Q24+R24+S24</f>
        <v>-1008</v>
      </c>
      <c r="Q29" s="182">
        <f>Q24+R24+S24</f>
        <v>-1781</v>
      </c>
      <c r="R29" s="183">
        <f>R24+S24</f>
        <v>-2187</v>
      </c>
      <c r="S29" s="182">
        <v>-292</v>
      </c>
      <c r="T29" s="183">
        <f>T24+U24+V24+W24</f>
        <v>-697</v>
      </c>
      <c r="U29" s="182">
        <f>U24+V24+W24</f>
        <v>-1598</v>
      </c>
      <c r="V29" s="183">
        <v>-2797</v>
      </c>
      <c r="W29" s="182">
        <v>-686</v>
      </c>
      <c r="X29" s="183">
        <f>X24+Y24+Z24+AA24</f>
        <v>-8731</v>
      </c>
      <c r="Y29" s="182">
        <f>Y24+Z24+AA24</f>
        <v>-8190</v>
      </c>
      <c r="Z29" s="184">
        <v>-10103</v>
      </c>
      <c r="AA29" s="182">
        <v>-672</v>
      </c>
      <c r="AB29" s="185">
        <v>-595</v>
      </c>
      <c r="AC29" s="186">
        <v>1555</v>
      </c>
      <c r="AD29" s="185">
        <v>-713</v>
      </c>
      <c r="AE29" s="186">
        <v>1131</v>
      </c>
      <c r="AF29" s="185">
        <v>-2886</v>
      </c>
      <c r="AG29" s="186">
        <v>-3046</v>
      </c>
      <c r="AH29" s="185">
        <v>-3999</v>
      </c>
      <c r="AI29" s="186">
        <v>-3622</v>
      </c>
      <c r="AJ29" s="185">
        <v>-6060</v>
      </c>
      <c r="AK29" s="186">
        <v>-7070</v>
      </c>
      <c r="AL29" s="185">
        <v>-9394</v>
      </c>
      <c r="AM29" s="186">
        <v>-9980</v>
      </c>
      <c r="AN29" s="185">
        <v>9039</v>
      </c>
      <c r="AO29" s="186">
        <v>6900</v>
      </c>
      <c r="AP29" s="185">
        <v>-268</v>
      </c>
      <c r="AQ29" s="186">
        <v>245</v>
      </c>
      <c r="AR29" s="185">
        <v>-485</v>
      </c>
      <c r="AS29" s="186">
        <v>-7195</v>
      </c>
      <c r="AT29" s="17">
        <v>-3973</v>
      </c>
      <c r="AU29" s="11">
        <v>-3015</v>
      </c>
      <c r="AV29" s="17">
        <v>-800</v>
      </c>
      <c r="AW29" s="11">
        <v>-445</v>
      </c>
      <c r="AX29" s="17">
        <v>-643</v>
      </c>
      <c r="AY29" s="11">
        <v>307</v>
      </c>
      <c r="AZ29" s="17">
        <v>-610</v>
      </c>
      <c r="BA29" s="11">
        <v>472</v>
      </c>
      <c r="BB29" s="2">
        <v>-504</v>
      </c>
      <c r="BC29" s="3">
        <v>175</v>
      </c>
      <c r="BD29" s="2">
        <v>1012</v>
      </c>
      <c r="BE29" s="3">
        <v>114</v>
      </c>
      <c r="BF29" s="2">
        <v>-763</v>
      </c>
      <c r="BG29" s="3">
        <v>-162</v>
      </c>
      <c r="BH29" s="2">
        <v>-4400</v>
      </c>
      <c r="BI29" s="3">
        <v>-6403</v>
      </c>
      <c r="BJ29" s="2">
        <v>-7387</v>
      </c>
      <c r="BK29" s="3">
        <v>-7196</v>
      </c>
      <c r="BL29" s="2">
        <v>-155</v>
      </c>
      <c r="BM29" s="3">
        <v>-219</v>
      </c>
      <c r="BN29" s="2">
        <v>65</v>
      </c>
      <c r="BO29" s="3">
        <v>187</v>
      </c>
      <c r="BP29" s="2">
        <v>3209</v>
      </c>
      <c r="BQ29" s="3">
        <v>1599</v>
      </c>
      <c r="BR29" s="2">
        <v>-141</v>
      </c>
      <c r="BS29" s="3">
        <v>-658</v>
      </c>
    </row>
    <row r="30" spans="2:71" ht="12.75">
      <c r="B30" s="34" t="s">
        <v>112</v>
      </c>
      <c r="C30" s="61" t="s">
        <v>220</v>
      </c>
      <c r="D30" s="184" t="s">
        <v>39</v>
      </c>
      <c r="E30" s="187" t="s">
        <v>39</v>
      </c>
      <c r="F30" s="184" t="s">
        <v>39</v>
      </c>
      <c r="G30" s="187" t="s">
        <v>39</v>
      </c>
      <c r="H30" s="184" t="s">
        <v>39</v>
      </c>
      <c r="I30" s="187" t="s">
        <v>39</v>
      </c>
      <c r="J30" s="184" t="s">
        <v>39</v>
      </c>
      <c r="K30" s="187" t="s">
        <v>39</v>
      </c>
      <c r="L30" s="184" t="s">
        <v>39</v>
      </c>
      <c r="M30" s="187" t="s">
        <v>39</v>
      </c>
      <c r="N30" s="184" t="s">
        <v>39</v>
      </c>
      <c r="O30" s="187" t="s">
        <v>39</v>
      </c>
      <c r="P30" s="184"/>
      <c r="Q30" s="187" t="s">
        <v>39</v>
      </c>
      <c r="R30" s="184"/>
      <c r="S30" s="187" t="s">
        <v>39</v>
      </c>
      <c r="T30" s="184"/>
      <c r="U30" s="182"/>
      <c r="V30" s="184" t="s">
        <v>39</v>
      </c>
      <c r="W30" s="187" t="s">
        <v>39</v>
      </c>
      <c r="X30" s="184" t="s">
        <v>39</v>
      </c>
      <c r="Y30" s="187" t="s">
        <v>39</v>
      </c>
      <c r="Z30" s="184" t="s">
        <v>39</v>
      </c>
      <c r="AA30" s="187" t="s">
        <v>39</v>
      </c>
      <c r="AB30" s="188" t="s">
        <v>39</v>
      </c>
      <c r="AC30" s="189" t="s">
        <v>39</v>
      </c>
      <c r="AD30" s="188" t="s">
        <v>39</v>
      </c>
      <c r="AE30" s="189" t="s">
        <v>39</v>
      </c>
      <c r="AF30" s="188" t="s">
        <v>39</v>
      </c>
      <c r="AG30" s="189" t="s">
        <v>39</v>
      </c>
      <c r="AH30" s="188" t="s">
        <v>39</v>
      </c>
      <c r="AI30" s="189" t="s">
        <v>39</v>
      </c>
      <c r="AJ30" s="185">
        <v>1138</v>
      </c>
      <c r="AK30" s="186">
        <v>1138</v>
      </c>
      <c r="AL30" s="185">
        <v>1139</v>
      </c>
      <c r="AM30" s="186"/>
      <c r="AN30" s="185"/>
      <c r="AO30" s="186"/>
      <c r="AP30" s="185"/>
      <c r="AQ30" s="186"/>
      <c r="AR30" s="185"/>
      <c r="AS30" s="186"/>
      <c r="AT30" s="17"/>
      <c r="AU30" s="11"/>
      <c r="AV30" s="17"/>
      <c r="AW30" s="11"/>
      <c r="AX30" s="17"/>
      <c r="AY30" s="11"/>
      <c r="AZ30" s="17"/>
      <c r="BA30" s="11"/>
      <c r="BB30" s="2"/>
      <c r="BC30" s="3"/>
      <c r="BD30" s="2"/>
      <c r="BE30" s="3"/>
      <c r="BF30" s="2"/>
      <c r="BG30" s="3"/>
      <c r="BH30" s="2"/>
      <c r="BI30" s="3"/>
      <c r="BJ30" s="2"/>
      <c r="BK30" s="3"/>
      <c r="BL30" s="2"/>
      <c r="BM30" s="3"/>
      <c r="BN30" s="2"/>
      <c r="BO30" s="3"/>
      <c r="BP30" s="2"/>
      <c r="BQ30" s="3"/>
      <c r="BR30" s="2"/>
      <c r="BS30" s="3"/>
    </row>
    <row r="31" spans="2:71" ht="12.75">
      <c r="B31" s="34" t="s">
        <v>30</v>
      </c>
      <c r="C31" s="83" t="s">
        <v>221</v>
      </c>
      <c r="D31" s="184" t="s">
        <v>39</v>
      </c>
      <c r="E31" s="187" t="s">
        <v>39</v>
      </c>
      <c r="F31" s="184" t="s">
        <v>39</v>
      </c>
      <c r="G31" s="187" t="s">
        <v>39</v>
      </c>
      <c r="H31" s="184" t="s">
        <v>39</v>
      </c>
      <c r="I31" s="187" t="s">
        <v>39</v>
      </c>
      <c r="J31" s="184" t="s">
        <v>39</v>
      </c>
      <c r="K31" s="187" t="s">
        <v>39</v>
      </c>
      <c r="L31" s="184" t="s">
        <v>39</v>
      </c>
      <c r="M31" s="187" t="s">
        <v>39</v>
      </c>
      <c r="N31" s="184" t="s">
        <v>39</v>
      </c>
      <c r="O31" s="187" t="s">
        <v>39</v>
      </c>
      <c r="P31" s="184"/>
      <c r="Q31" s="187" t="s">
        <v>39</v>
      </c>
      <c r="R31" s="184"/>
      <c r="S31" s="187" t="s">
        <v>39</v>
      </c>
      <c r="T31" s="184"/>
      <c r="U31" s="182"/>
      <c r="V31" s="184" t="s">
        <v>39</v>
      </c>
      <c r="W31" s="187" t="s">
        <v>39</v>
      </c>
      <c r="X31" s="184" t="s">
        <v>39</v>
      </c>
      <c r="Y31" s="187" t="s">
        <v>39</v>
      </c>
      <c r="Z31" s="184" t="s">
        <v>39</v>
      </c>
      <c r="AA31" s="187" t="s">
        <v>39</v>
      </c>
      <c r="AB31" s="188" t="s">
        <v>39</v>
      </c>
      <c r="AC31" s="189" t="s">
        <v>39</v>
      </c>
      <c r="AD31" s="188" t="s">
        <v>39</v>
      </c>
      <c r="AE31" s="189" t="s">
        <v>39</v>
      </c>
      <c r="AF31" s="188" t="s">
        <v>39</v>
      </c>
      <c r="AG31" s="189" t="s">
        <v>39</v>
      </c>
      <c r="AH31" s="188" t="s">
        <v>39</v>
      </c>
      <c r="AI31" s="189" t="s">
        <v>39</v>
      </c>
      <c r="AJ31" s="188" t="s">
        <v>39</v>
      </c>
      <c r="AK31" s="189" t="s">
        <v>39</v>
      </c>
      <c r="AL31" s="188" t="s">
        <v>39</v>
      </c>
      <c r="AM31" s="189" t="s">
        <v>39</v>
      </c>
      <c r="AN31" s="188" t="s">
        <v>39</v>
      </c>
      <c r="AO31" s="189" t="s">
        <v>39</v>
      </c>
      <c r="AP31" s="188" t="s">
        <v>39</v>
      </c>
      <c r="AQ31" s="189" t="s">
        <v>39</v>
      </c>
      <c r="AR31" s="188" t="s">
        <v>39</v>
      </c>
      <c r="AS31" s="189" t="s">
        <v>39</v>
      </c>
      <c r="AT31" s="47" t="s">
        <v>39</v>
      </c>
      <c r="AU31" s="54" t="s">
        <v>39</v>
      </c>
      <c r="AV31" s="47" t="s">
        <v>39</v>
      </c>
      <c r="AW31" s="54" t="s">
        <v>39</v>
      </c>
      <c r="AX31" s="47" t="s">
        <v>39</v>
      </c>
      <c r="AY31" s="54" t="s">
        <v>39</v>
      </c>
      <c r="AZ31" s="47" t="s">
        <v>39</v>
      </c>
      <c r="BA31" s="54" t="s">
        <v>39</v>
      </c>
      <c r="BB31" s="47" t="s">
        <v>39</v>
      </c>
      <c r="BC31" s="54" t="s">
        <v>39</v>
      </c>
      <c r="BD31" s="36" t="s">
        <v>39</v>
      </c>
      <c r="BE31" s="54" t="s">
        <v>39</v>
      </c>
      <c r="BF31" s="36" t="s">
        <v>39</v>
      </c>
      <c r="BG31" s="54" t="s">
        <v>39</v>
      </c>
      <c r="BH31" s="2">
        <v>342</v>
      </c>
      <c r="BI31" s="3">
        <v>343</v>
      </c>
      <c r="BJ31" s="2">
        <v>343</v>
      </c>
      <c r="BK31" s="54" t="s">
        <v>39</v>
      </c>
      <c r="BL31" s="36" t="s">
        <v>39</v>
      </c>
      <c r="BM31" s="54" t="s">
        <v>39</v>
      </c>
      <c r="BN31" s="36" t="s">
        <v>39</v>
      </c>
      <c r="BO31" s="54" t="s">
        <v>39</v>
      </c>
      <c r="BP31" s="2">
        <v>28</v>
      </c>
      <c r="BQ31" s="3">
        <v>28</v>
      </c>
      <c r="BR31" s="2">
        <v>26</v>
      </c>
      <c r="BS31" s="54" t="s">
        <v>39</v>
      </c>
    </row>
    <row r="32" spans="2:71" ht="12.75">
      <c r="B32" s="34" t="s">
        <v>31</v>
      </c>
      <c r="C32" s="24" t="s">
        <v>222</v>
      </c>
      <c r="D32" s="184" t="s">
        <v>39</v>
      </c>
      <c r="E32" s="187" t="s">
        <v>39</v>
      </c>
      <c r="F32" s="184" t="s">
        <v>39</v>
      </c>
      <c r="G32" s="187" t="s">
        <v>39</v>
      </c>
      <c r="H32" s="184" t="s">
        <v>39</v>
      </c>
      <c r="I32" s="187" t="s">
        <v>39</v>
      </c>
      <c r="J32" s="184" t="s">
        <v>39</v>
      </c>
      <c r="K32" s="187" t="s">
        <v>39</v>
      </c>
      <c r="L32" s="184" t="s">
        <v>39</v>
      </c>
      <c r="M32" s="187" t="s">
        <v>39</v>
      </c>
      <c r="N32" s="184" t="s">
        <v>39</v>
      </c>
      <c r="O32" s="187" t="s">
        <v>39</v>
      </c>
      <c r="P32" s="184"/>
      <c r="Q32" s="187" t="s">
        <v>39</v>
      </c>
      <c r="R32" s="184"/>
      <c r="S32" s="187" t="s">
        <v>39</v>
      </c>
      <c r="T32" s="184"/>
      <c r="U32" s="182"/>
      <c r="V32" s="184" t="s">
        <v>39</v>
      </c>
      <c r="W32" s="187" t="s">
        <v>39</v>
      </c>
      <c r="X32" s="184" t="s">
        <v>39</v>
      </c>
      <c r="Y32" s="187" t="s">
        <v>39</v>
      </c>
      <c r="Z32" s="184" t="s">
        <v>39</v>
      </c>
      <c r="AA32" s="187" t="s">
        <v>39</v>
      </c>
      <c r="AB32" s="188" t="s">
        <v>39</v>
      </c>
      <c r="AC32" s="189" t="s">
        <v>39</v>
      </c>
      <c r="AD32" s="188" t="s">
        <v>39</v>
      </c>
      <c r="AE32" s="189" t="s">
        <v>39</v>
      </c>
      <c r="AF32" s="188" t="s">
        <v>39</v>
      </c>
      <c r="AG32" s="189" t="s">
        <v>39</v>
      </c>
      <c r="AH32" s="188" t="s">
        <v>39</v>
      </c>
      <c r="AI32" s="189" t="s">
        <v>39</v>
      </c>
      <c r="AJ32" s="188" t="s">
        <v>39</v>
      </c>
      <c r="AK32" s="189" t="s">
        <v>39</v>
      </c>
      <c r="AL32" s="188" t="s">
        <v>39</v>
      </c>
      <c r="AM32" s="189" t="s">
        <v>39</v>
      </c>
      <c r="AN32" s="188" t="s">
        <v>39</v>
      </c>
      <c r="AO32" s="189" t="s">
        <v>39</v>
      </c>
      <c r="AP32" s="188" t="s">
        <v>39</v>
      </c>
      <c r="AQ32" s="189" t="s">
        <v>39</v>
      </c>
      <c r="AR32" s="188" t="s">
        <v>39</v>
      </c>
      <c r="AS32" s="189" t="s">
        <v>39</v>
      </c>
      <c r="AT32" s="47" t="s">
        <v>39</v>
      </c>
      <c r="AU32" s="54" t="s">
        <v>39</v>
      </c>
      <c r="AV32" s="17">
        <v>-325</v>
      </c>
      <c r="AW32" s="54" t="s">
        <v>39</v>
      </c>
      <c r="AX32" s="47" t="s">
        <v>39</v>
      </c>
      <c r="AY32" s="54" t="s">
        <v>39</v>
      </c>
      <c r="AZ32" s="47" t="s">
        <v>39</v>
      </c>
      <c r="BA32" s="54" t="s">
        <v>39</v>
      </c>
      <c r="BB32" s="47" t="s">
        <v>39</v>
      </c>
      <c r="BC32" s="54" t="s">
        <v>39</v>
      </c>
      <c r="BD32" s="2">
        <v>-925</v>
      </c>
      <c r="BE32" s="3">
        <v>-783</v>
      </c>
      <c r="BF32" s="2">
        <v>-783</v>
      </c>
      <c r="BG32" s="3">
        <v>-783</v>
      </c>
      <c r="BH32" s="2">
        <v>-3763</v>
      </c>
      <c r="BI32" s="3">
        <v>-5085</v>
      </c>
      <c r="BJ32" s="2">
        <v>-5135</v>
      </c>
      <c r="BK32" s="3">
        <v>-5250</v>
      </c>
      <c r="BL32" s="2">
        <v>80</v>
      </c>
      <c r="BM32" s="3">
        <v>-188</v>
      </c>
      <c r="BN32" s="2">
        <v>-188</v>
      </c>
      <c r="BO32" s="54" t="s">
        <v>39</v>
      </c>
      <c r="BP32" s="36" t="s">
        <v>39</v>
      </c>
      <c r="BQ32" s="54" t="s">
        <v>39</v>
      </c>
      <c r="BR32" s="36" t="s">
        <v>39</v>
      </c>
      <c r="BS32" s="54" t="s">
        <v>39</v>
      </c>
    </row>
    <row r="33" spans="2:71" ht="15">
      <c r="B33" s="34" t="s">
        <v>122</v>
      </c>
      <c r="C33" s="62" t="s">
        <v>234</v>
      </c>
      <c r="D33" s="184" t="s">
        <v>39</v>
      </c>
      <c r="E33" s="187" t="s">
        <v>39</v>
      </c>
      <c r="F33" s="184" t="s">
        <v>39</v>
      </c>
      <c r="G33" s="187" t="s">
        <v>39</v>
      </c>
      <c r="H33" s="184" t="s">
        <v>39</v>
      </c>
      <c r="I33" s="187" t="s">
        <v>39</v>
      </c>
      <c r="J33" s="184" t="s">
        <v>39</v>
      </c>
      <c r="K33" s="187" t="s">
        <v>39</v>
      </c>
      <c r="L33" s="184" t="s">
        <v>39</v>
      </c>
      <c r="M33" s="187" t="s">
        <v>39</v>
      </c>
      <c r="N33" s="184" t="s">
        <v>39</v>
      </c>
      <c r="O33" s="187" t="s">
        <v>39</v>
      </c>
      <c r="P33" s="184"/>
      <c r="Q33" s="187" t="s">
        <v>39</v>
      </c>
      <c r="R33" s="184"/>
      <c r="S33" s="187" t="s">
        <v>39</v>
      </c>
      <c r="T33" s="184"/>
      <c r="U33" s="182"/>
      <c r="V33" s="184" t="s">
        <v>39</v>
      </c>
      <c r="W33" s="187" t="s">
        <v>39</v>
      </c>
      <c r="X33" s="184" t="s">
        <v>39</v>
      </c>
      <c r="Y33" s="187" t="s">
        <v>39</v>
      </c>
      <c r="Z33" s="184" t="s">
        <v>39</v>
      </c>
      <c r="AA33" s="187" t="s">
        <v>39</v>
      </c>
      <c r="AB33" s="188" t="s">
        <v>39</v>
      </c>
      <c r="AC33" s="189" t="s">
        <v>39</v>
      </c>
      <c r="AD33" s="188" t="s">
        <v>39</v>
      </c>
      <c r="AE33" s="189" t="s">
        <v>39</v>
      </c>
      <c r="AF33" s="188">
        <v>-184</v>
      </c>
      <c r="AG33" s="189">
        <v>-184</v>
      </c>
      <c r="AH33" s="188">
        <v>-184</v>
      </c>
      <c r="AI33" s="189">
        <v>-174</v>
      </c>
      <c r="AJ33" s="188"/>
      <c r="AK33" s="189"/>
      <c r="AL33" s="188"/>
      <c r="AM33" s="189"/>
      <c r="AN33" s="188"/>
      <c r="AO33" s="189"/>
      <c r="AP33" s="188"/>
      <c r="AQ33" s="189"/>
      <c r="AR33" s="188"/>
      <c r="AS33" s="189"/>
      <c r="AT33" s="47"/>
      <c r="AU33" s="54"/>
      <c r="AV33" s="17"/>
      <c r="AW33" s="54"/>
      <c r="AX33" s="47"/>
      <c r="AY33" s="54"/>
      <c r="AZ33" s="47"/>
      <c r="BA33" s="54"/>
      <c r="BB33" s="47"/>
      <c r="BC33" s="54"/>
      <c r="BD33" s="2"/>
      <c r="BE33" s="3"/>
      <c r="BF33" s="2"/>
      <c r="BG33" s="3"/>
      <c r="BH33" s="2"/>
      <c r="BI33" s="3"/>
      <c r="BJ33" s="2"/>
      <c r="BK33" s="3"/>
      <c r="BL33" s="2"/>
      <c r="BM33" s="3"/>
      <c r="BN33" s="2"/>
      <c r="BO33" s="54"/>
      <c r="BP33" s="36"/>
      <c r="BQ33" s="54"/>
      <c r="BR33" s="36"/>
      <c r="BS33" s="54"/>
    </row>
    <row r="34" spans="2:71" ht="15">
      <c r="B34" s="34" t="s">
        <v>151</v>
      </c>
      <c r="C34" s="34" t="s">
        <v>235</v>
      </c>
      <c r="D34" s="34">
        <v>-729</v>
      </c>
      <c r="E34" s="182">
        <v>-903</v>
      </c>
      <c r="F34" s="183">
        <v>-900</v>
      </c>
      <c r="G34" s="182">
        <v>-1348</v>
      </c>
      <c r="H34" s="183">
        <v>-3523</v>
      </c>
      <c r="I34" s="182">
        <v>-1787</v>
      </c>
      <c r="J34" s="183">
        <v>-1107</v>
      </c>
      <c r="K34" s="182">
        <v>171</v>
      </c>
      <c r="L34" s="183">
        <v>1013</v>
      </c>
      <c r="M34" s="182">
        <v>1841</v>
      </c>
      <c r="N34" s="183">
        <v>2180</v>
      </c>
      <c r="O34" s="182">
        <v>912</v>
      </c>
      <c r="P34" s="184">
        <v>2426</v>
      </c>
      <c r="Q34" s="182">
        <v>881</v>
      </c>
      <c r="R34" s="184">
        <v>1442</v>
      </c>
      <c r="S34" s="182">
        <v>1594</v>
      </c>
      <c r="T34" s="184">
        <v>-66</v>
      </c>
      <c r="U34" s="182">
        <v>-310</v>
      </c>
      <c r="V34" s="184">
        <v>-715</v>
      </c>
      <c r="W34" s="187">
        <v>65</v>
      </c>
      <c r="X34" s="184">
        <v>-265</v>
      </c>
      <c r="Y34" s="187" t="s">
        <v>39</v>
      </c>
      <c r="Z34" s="184" t="s">
        <v>39</v>
      </c>
      <c r="AA34" s="187" t="s">
        <v>39</v>
      </c>
      <c r="AB34" s="188" t="s">
        <v>39</v>
      </c>
      <c r="AC34" s="189" t="s">
        <v>39</v>
      </c>
      <c r="AD34" s="188" t="s">
        <v>39</v>
      </c>
      <c r="AE34" s="189" t="s">
        <v>39</v>
      </c>
      <c r="AF34" s="188"/>
      <c r="AG34" s="189"/>
      <c r="AH34" s="188"/>
      <c r="AI34" s="189"/>
      <c r="AJ34" s="188"/>
      <c r="AK34" s="189"/>
      <c r="AL34" s="188"/>
      <c r="AM34" s="189"/>
      <c r="AN34" s="188"/>
      <c r="AO34" s="189"/>
      <c r="AP34" s="188"/>
      <c r="AQ34" s="189"/>
      <c r="AR34" s="188"/>
      <c r="AS34" s="189"/>
      <c r="AT34" s="47"/>
      <c r="AU34" s="54"/>
      <c r="AV34" s="17"/>
      <c r="AW34" s="54"/>
      <c r="AX34" s="47"/>
      <c r="AY34" s="54"/>
      <c r="AZ34" s="47"/>
      <c r="BA34" s="54"/>
      <c r="BB34" s="47"/>
      <c r="BC34" s="54"/>
      <c r="BD34" s="2"/>
      <c r="BE34" s="3"/>
      <c r="BF34" s="2"/>
      <c r="BG34" s="3"/>
      <c r="BH34" s="2"/>
      <c r="BI34" s="3"/>
      <c r="BJ34" s="2"/>
      <c r="BK34" s="3"/>
      <c r="BL34" s="2"/>
      <c r="BM34" s="3"/>
      <c r="BN34" s="2"/>
      <c r="BO34" s="54"/>
      <c r="BP34" s="36"/>
      <c r="BQ34" s="54"/>
      <c r="BR34" s="36"/>
      <c r="BS34" s="54"/>
    </row>
    <row r="35" spans="2:71" ht="15">
      <c r="B35" s="34" t="s">
        <v>152</v>
      </c>
      <c r="C35" s="34" t="s">
        <v>236</v>
      </c>
      <c r="D35" s="34"/>
      <c r="E35" s="182"/>
      <c r="F35" s="183"/>
      <c r="G35" s="182"/>
      <c r="H35" s="183"/>
      <c r="I35" s="182"/>
      <c r="J35" s="183"/>
      <c r="K35" s="182"/>
      <c r="L35" s="183"/>
      <c r="M35" s="182"/>
      <c r="N35" s="183"/>
      <c r="O35" s="182"/>
      <c r="P35" s="184"/>
      <c r="Q35" s="182"/>
      <c r="R35" s="184"/>
      <c r="S35" s="182"/>
      <c r="T35" s="184"/>
      <c r="U35" s="182"/>
      <c r="V35" s="184" t="s">
        <v>39</v>
      </c>
      <c r="W35" s="187" t="s">
        <v>39</v>
      </c>
      <c r="X35" s="184" t="s">
        <v>39</v>
      </c>
      <c r="Y35" s="187" t="s">
        <v>39</v>
      </c>
      <c r="Z35" s="184" t="s">
        <v>39</v>
      </c>
      <c r="AA35" s="187" t="s">
        <v>39</v>
      </c>
      <c r="AB35" s="188" t="s">
        <v>39</v>
      </c>
      <c r="AC35" s="189" t="s">
        <v>39</v>
      </c>
      <c r="AD35" s="188" t="s">
        <v>39</v>
      </c>
      <c r="AE35" s="189" t="s">
        <v>39</v>
      </c>
      <c r="AF35" s="188" t="s">
        <v>39</v>
      </c>
      <c r="AG35" s="189" t="s">
        <v>39</v>
      </c>
      <c r="AH35" s="188" t="s">
        <v>39</v>
      </c>
      <c r="AI35" s="189" t="s">
        <v>39</v>
      </c>
      <c r="AJ35" s="188" t="s">
        <v>39</v>
      </c>
      <c r="AK35" s="189" t="s">
        <v>39</v>
      </c>
      <c r="AL35" s="188" t="s">
        <v>39</v>
      </c>
      <c r="AM35" s="189" t="s">
        <v>39</v>
      </c>
      <c r="AN35" s="188" t="s">
        <v>39</v>
      </c>
      <c r="AO35" s="189" t="s">
        <v>39</v>
      </c>
      <c r="AP35" s="188" t="s">
        <v>39</v>
      </c>
      <c r="AQ35" s="189" t="s">
        <v>39</v>
      </c>
      <c r="AR35" s="185">
        <v>-2573</v>
      </c>
      <c r="AS35" s="189" t="s">
        <v>39</v>
      </c>
      <c r="AT35" s="47" t="s">
        <v>39</v>
      </c>
      <c r="AU35" s="54" t="s">
        <v>39</v>
      </c>
      <c r="AV35" s="47" t="s">
        <v>39</v>
      </c>
      <c r="AW35" s="54" t="s">
        <v>39</v>
      </c>
      <c r="AX35" s="47" t="s">
        <v>39</v>
      </c>
      <c r="AY35" s="54" t="s">
        <v>39</v>
      </c>
      <c r="AZ35" s="47" t="s">
        <v>39</v>
      </c>
      <c r="BA35" s="54" t="s">
        <v>39</v>
      </c>
      <c r="BB35" s="47" t="s">
        <v>39</v>
      </c>
      <c r="BC35" s="54" t="s">
        <v>39</v>
      </c>
      <c r="BD35" s="36" t="s">
        <v>39</v>
      </c>
      <c r="BE35" s="54" t="s">
        <v>39</v>
      </c>
      <c r="BF35" s="36" t="s">
        <v>39</v>
      </c>
      <c r="BG35" s="54" t="s">
        <v>39</v>
      </c>
      <c r="BH35" s="36" t="s">
        <v>39</v>
      </c>
      <c r="BI35" s="54" t="s">
        <v>39</v>
      </c>
      <c r="BJ35" s="36" t="s">
        <v>39</v>
      </c>
      <c r="BK35" s="54" t="s">
        <v>39</v>
      </c>
      <c r="BL35" s="36" t="s">
        <v>39</v>
      </c>
      <c r="BM35" s="54" t="s">
        <v>39</v>
      </c>
      <c r="BN35" s="36" t="s">
        <v>39</v>
      </c>
      <c r="BO35" s="54" t="s">
        <v>39</v>
      </c>
      <c r="BP35" s="36" t="s">
        <v>39</v>
      </c>
      <c r="BQ35" s="54" t="s">
        <v>39</v>
      </c>
      <c r="BR35" s="36" t="s">
        <v>39</v>
      </c>
      <c r="BS35" s="54" t="s">
        <v>39</v>
      </c>
    </row>
    <row r="36" spans="2:71" ht="12.75">
      <c r="B36" s="34" t="s">
        <v>37</v>
      </c>
      <c r="C36" s="34" t="s">
        <v>226</v>
      </c>
      <c r="D36" s="34">
        <v>1316</v>
      </c>
      <c r="E36" s="182">
        <v>1673</v>
      </c>
      <c r="F36" s="183">
        <v>-377</v>
      </c>
      <c r="G36" s="182">
        <v>-416</v>
      </c>
      <c r="H36" s="183">
        <v>-3088</v>
      </c>
      <c r="I36" s="182">
        <v>-768</v>
      </c>
      <c r="J36" s="183">
        <v>425</v>
      </c>
      <c r="K36" s="182">
        <v>675</v>
      </c>
      <c r="L36" s="183">
        <v>-571</v>
      </c>
      <c r="M36" s="182">
        <v>-120</v>
      </c>
      <c r="N36" s="183">
        <v>-693</v>
      </c>
      <c r="O36" s="182">
        <v>-633</v>
      </c>
      <c r="P36" s="184">
        <v>2009</v>
      </c>
      <c r="Q36" s="182">
        <v>1194</v>
      </c>
      <c r="R36" s="184">
        <f>R37-R28-R29-R34</f>
        <v>1609</v>
      </c>
      <c r="S36" s="182">
        <v>469</v>
      </c>
      <c r="T36" s="184">
        <f>T37-T28-T29-T34</f>
        <v>-3240</v>
      </c>
      <c r="U36" s="182">
        <v>-2729</v>
      </c>
      <c r="V36" s="184">
        <v>-3215</v>
      </c>
      <c r="W36" s="187">
        <v>-1154</v>
      </c>
      <c r="X36" s="184">
        <f>X37-X28-X29-X34</f>
        <v>784</v>
      </c>
      <c r="Y36" s="182">
        <f>Y37-Y28-Y29</f>
        <v>-634</v>
      </c>
      <c r="Z36" s="184">
        <f>Z37-Z28-Z29</f>
        <v>-942</v>
      </c>
      <c r="AA36" s="182">
        <v>-1223</v>
      </c>
      <c r="AB36" s="185">
        <v>2188</v>
      </c>
      <c r="AC36" s="186">
        <v>1899</v>
      </c>
      <c r="AD36" s="185">
        <v>1212</v>
      </c>
      <c r="AE36" s="186">
        <v>418</v>
      </c>
      <c r="AF36" s="185">
        <v>3032</v>
      </c>
      <c r="AG36" s="186">
        <v>2642</v>
      </c>
      <c r="AH36" s="185">
        <v>2892</v>
      </c>
      <c r="AI36" s="186">
        <v>1127</v>
      </c>
      <c r="AJ36" s="185">
        <v>-3059</v>
      </c>
      <c r="AK36" s="186">
        <v>-3221</v>
      </c>
      <c r="AL36" s="185">
        <v>-2668</v>
      </c>
      <c r="AM36" s="186">
        <v>-1770</v>
      </c>
      <c r="AN36" s="185">
        <v>-846</v>
      </c>
      <c r="AO36" s="186">
        <v>-354</v>
      </c>
      <c r="AP36" s="185">
        <v>384</v>
      </c>
      <c r="AQ36" s="186">
        <v>306</v>
      </c>
      <c r="AR36" s="185">
        <v>355</v>
      </c>
      <c r="AS36" s="186">
        <v>712</v>
      </c>
      <c r="AT36" s="17">
        <v>882</v>
      </c>
      <c r="AU36" s="11">
        <v>686</v>
      </c>
      <c r="AV36" s="17">
        <v>-1227</v>
      </c>
      <c r="AW36" s="11">
        <v>-746</v>
      </c>
      <c r="AX36" s="17">
        <v>-112</v>
      </c>
      <c r="AY36" s="11">
        <v>56</v>
      </c>
      <c r="AZ36" s="17">
        <v>-946</v>
      </c>
      <c r="BA36" s="11">
        <v>-301</v>
      </c>
      <c r="BB36" s="2">
        <v>-877</v>
      </c>
      <c r="BC36" s="3">
        <v>-894</v>
      </c>
      <c r="BD36" s="2">
        <v>17</v>
      </c>
      <c r="BE36" s="3">
        <v>1230</v>
      </c>
      <c r="BF36" s="2">
        <v>958</v>
      </c>
      <c r="BG36" s="3">
        <v>501</v>
      </c>
      <c r="BH36" s="2">
        <v>828</v>
      </c>
      <c r="BI36" s="3">
        <v>-662</v>
      </c>
      <c r="BJ36" s="2">
        <v>-2336</v>
      </c>
      <c r="BK36" s="3">
        <v>-3007</v>
      </c>
      <c r="BL36" s="2">
        <v>316</v>
      </c>
      <c r="BM36" s="3">
        <v>123</v>
      </c>
      <c r="BN36" s="2">
        <v>301</v>
      </c>
      <c r="BO36" s="3">
        <v>827</v>
      </c>
      <c r="BP36" s="2">
        <v>-3252</v>
      </c>
      <c r="BQ36" s="3">
        <v>-3370</v>
      </c>
      <c r="BR36" s="2">
        <v>-1645</v>
      </c>
      <c r="BS36" s="3">
        <v>-1802</v>
      </c>
    </row>
    <row r="37" spans="2:71" ht="12.75">
      <c r="B37" s="33" t="s">
        <v>38</v>
      </c>
      <c r="C37" s="33" t="s">
        <v>227</v>
      </c>
      <c r="D37" s="191">
        <f>SUM(D28:D36)</f>
        <v>-40430</v>
      </c>
      <c r="E37" s="190">
        <f>SUM(E28:E36)</f>
        <v>-42035</v>
      </c>
      <c r="F37" s="191">
        <f>SUM(F28:F36)</f>
        <v>-47679</v>
      </c>
      <c r="G37" s="190">
        <f aca="true" t="shared" si="13" ref="G37:AY37">SUM(G28:G36)</f>
        <v>-47842</v>
      </c>
      <c r="H37" s="191">
        <f t="shared" si="13"/>
        <v>-47002</v>
      </c>
      <c r="I37" s="190">
        <f t="shared" si="13"/>
        <v>-43501</v>
      </c>
      <c r="J37" s="191">
        <f t="shared" si="13"/>
        <v>-42394</v>
      </c>
      <c r="K37" s="190">
        <f t="shared" si="13"/>
        <v>-37253</v>
      </c>
      <c r="L37" s="191">
        <f t="shared" si="13"/>
        <v>-37368</v>
      </c>
      <c r="M37" s="190">
        <f t="shared" si="13"/>
        <v>-33113</v>
      </c>
      <c r="N37" s="191">
        <f t="shared" si="13"/>
        <v>-34843</v>
      </c>
      <c r="O37" s="190">
        <f t="shared" si="13"/>
        <v>-33609</v>
      </c>
      <c r="P37" s="192">
        <f>SUM(P28:P36)</f>
        <v>-36399</v>
      </c>
      <c r="Q37" s="190">
        <f t="shared" si="13"/>
        <v>-39532</v>
      </c>
      <c r="R37" s="192">
        <v>-38962</v>
      </c>
      <c r="S37" s="190">
        <f t="shared" si="13"/>
        <v>-38055</v>
      </c>
      <c r="T37" s="192">
        <v>-39826</v>
      </c>
      <c r="U37" s="190">
        <f t="shared" si="13"/>
        <v>-40460</v>
      </c>
      <c r="V37" s="192">
        <f t="shared" si="13"/>
        <v>-42550</v>
      </c>
      <c r="W37" s="190">
        <f t="shared" si="13"/>
        <v>-37598</v>
      </c>
      <c r="X37" s="192">
        <v>-34745</v>
      </c>
      <c r="Y37" s="164">
        <v>-35357</v>
      </c>
      <c r="Z37" s="192">
        <v>-37578</v>
      </c>
      <c r="AA37" s="164">
        <f t="shared" si="13"/>
        <v>-28428</v>
      </c>
      <c r="AB37" s="173">
        <f t="shared" si="13"/>
        <v>-22306</v>
      </c>
      <c r="AC37" s="172">
        <f t="shared" si="13"/>
        <v>-20445</v>
      </c>
      <c r="AD37" s="173">
        <f t="shared" si="13"/>
        <v>-23400</v>
      </c>
      <c r="AE37" s="172">
        <f t="shared" si="13"/>
        <v>-22350</v>
      </c>
      <c r="AF37" s="173">
        <f t="shared" si="13"/>
        <v>-23899</v>
      </c>
      <c r="AG37" s="172">
        <f t="shared" si="13"/>
        <v>-24449</v>
      </c>
      <c r="AH37" s="173">
        <f t="shared" si="13"/>
        <v>-25152</v>
      </c>
      <c r="AI37" s="172">
        <f t="shared" si="13"/>
        <v>-26530</v>
      </c>
      <c r="AJ37" s="173">
        <f t="shared" si="13"/>
        <v>-23861</v>
      </c>
      <c r="AK37" s="172">
        <f t="shared" si="13"/>
        <v>-25033</v>
      </c>
      <c r="AL37" s="173">
        <f t="shared" si="13"/>
        <v>-26803</v>
      </c>
      <c r="AM37" s="172">
        <f t="shared" si="13"/>
        <v>-27630</v>
      </c>
      <c r="AN37" s="173">
        <f t="shared" si="13"/>
        <v>-15880</v>
      </c>
      <c r="AO37" s="172">
        <f t="shared" si="13"/>
        <v>-17527</v>
      </c>
      <c r="AP37" s="173">
        <f t="shared" si="13"/>
        <v>-23957</v>
      </c>
      <c r="AQ37" s="172">
        <f t="shared" si="13"/>
        <v>-23522</v>
      </c>
      <c r="AR37" s="193">
        <f t="shared" si="13"/>
        <v>-24073</v>
      </c>
      <c r="AS37" s="172">
        <f t="shared" si="13"/>
        <v>-27853</v>
      </c>
      <c r="AT37" s="4">
        <f t="shared" si="13"/>
        <v>-24461</v>
      </c>
      <c r="AU37" s="5">
        <f t="shared" si="13"/>
        <v>-23699</v>
      </c>
      <c r="AV37" s="4">
        <f t="shared" si="13"/>
        <v>-21370</v>
      </c>
      <c r="AW37" s="5">
        <f t="shared" si="13"/>
        <v>-20209</v>
      </c>
      <c r="AX37" s="4">
        <f t="shared" si="13"/>
        <v>-19773</v>
      </c>
      <c r="AY37" s="5">
        <f t="shared" si="13"/>
        <v>-18655</v>
      </c>
      <c r="AZ37" s="4">
        <v>-19018</v>
      </c>
      <c r="BA37" s="5">
        <v>-17291</v>
      </c>
      <c r="BB37" s="4">
        <v>-18843</v>
      </c>
      <c r="BC37" s="5">
        <v>-18181</v>
      </c>
      <c r="BD37" s="4">
        <v>-17462</v>
      </c>
      <c r="BE37" s="5">
        <v>-17005</v>
      </c>
      <c r="BF37" s="4">
        <v>-18154</v>
      </c>
      <c r="BG37" s="5">
        <v>-18010</v>
      </c>
      <c r="BH37" s="4">
        <v>-17566</v>
      </c>
      <c r="BI37" s="5">
        <v>-22380</v>
      </c>
      <c r="BJ37" s="4">
        <v>-25088</v>
      </c>
      <c r="BK37" s="5">
        <v>-26026</v>
      </c>
      <c r="BL37" s="4">
        <v>-10573</v>
      </c>
      <c r="BM37" s="5">
        <v>-11098</v>
      </c>
      <c r="BN37" s="4">
        <v>-10636</v>
      </c>
      <c r="BO37" s="5">
        <v>-9800</v>
      </c>
      <c r="BP37" s="4">
        <v>-10814</v>
      </c>
      <c r="BQ37" s="5">
        <v>-12542</v>
      </c>
      <c r="BR37" s="4">
        <v>-12559</v>
      </c>
      <c r="BS37" s="5">
        <v>-13259</v>
      </c>
    </row>
    <row r="38" spans="2:71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7"/>
      <c r="Q38" s="17"/>
      <c r="R38" s="47"/>
      <c r="S38" s="17"/>
      <c r="T38" s="47"/>
      <c r="U38" s="17"/>
      <c r="V38" s="47"/>
      <c r="W38" s="4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2:71" ht="12.75">
      <c r="B39" s="2" t="s">
        <v>84</v>
      </c>
      <c r="C39" s="84" t="s">
        <v>237</v>
      </c>
      <c r="D39" s="84"/>
      <c r="E39" s="84"/>
      <c r="F39" s="8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2:71" ht="12.75">
      <c r="B40" s="2" t="s">
        <v>86</v>
      </c>
      <c r="C40" s="84" t="s">
        <v>238</v>
      </c>
      <c r="D40" s="84"/>
      <c r="E40" s="84"/>
      <c r="F40" s="8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2:71" ht="12.75">
      <c r="B41" s="2" t="s">
        <v>88</v>
      </c>
      <c r="C41" s="84" t="s">
        <v>239</v>
      </c>
      <c r="D41" s="84"/>
      <c r="E41" s="84"/>
      <c r="F41" s="8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2:71" ht="12.75">
      <c r="B42" s="23" t="s">
        <v>121</v>
      </c>
      <c r="C42" s="86" t="s">
        <v>240</v>
      </c>
      <c r="D42" s="86"/>
      <c r="E42" s="86"/>
      <c r="F42" s="8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2:71" ht="12.75">
      <c r="B43" s="23" t="s">
        <v>148</v>
      </c>
      <c r="C43" s="86"/>
      <c r="D43" s="86"/>
      <c r="E43" s="86"/>
      <c r="F43" s="8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2:71" ht="12.75">
      <c r="B44" s="23" t="s">
        <v>153</v>
      </c>
      <c r="C44" s="86" t="s">
        <v>241</v>
      </c>
      <c r="D44" s="86"/>
      <c r="E44" s="86"/>
      <c r="F44" s="8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2:71" ht="12.75">
      <c r="B45" s="2" t="s">
        <v>154</v>
      </c>
      <c r="C45" s="84" t="s">
        <v>242</v>
      </c>
      <c r="D45" s="84"/>
      <c r="E45" s="84"/>
      <c r="F45" s="8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Y61"/>
  <sheetViews>
    <sheetView zoomScalePageLayoutView="0" workbookViewId="0" topLeftCell="D1">
      <selection activeCell="D50" sqref="D50"/>
    </sheetView>
  </sheetViews>
  <sheetFormatPr defaultColWidth="9.140625" defaultRowHeight="12.75"/>
  <cols>
    <col min="1" max="1" width="9.140625" style="2" customWidth="1"/>
    <col min="2" max="3" width="41.421875" style="2" customWidth="1"/>
    <col min="4" max="4" width="12.421875" style="2" customWidth="1"/>
    <col min="5" max="7" width="9.140625" style="2" customWidth="1"/>
    <col min="8" max="8" width="9.140625" style="12" customWidth="1"/>
    <col min="9" max="16" width="9.140625" style="15" customWidth="1"/>
    <col min="17" max="16384" width="9.140625" style="2" customWidth="1"/>
  </cols>
  <sheetData>
    <row r="1" spans="2:8" ht="18">
      <c r="B1" s="29" t="s">
        <v>48</v>
      </c>
      <c r="C1" s="29" t="s">
        <v>295</v>
      </c>
      <c r="D1" s="29"/>
      <c r="E1" s="29"/>
      <c r="F1" s="29"/>
      <c r="G1" s="29"/>
      <c r="H1" s="76"/>
    </row>
    <row r="2" spans="24:25" ht="12.75">
      <c r="X2" s="23"/>
      <c r="Y2" s="23"/>
    </row>
    <row r="3" spans="2:25" ht="12.75">
      <c r="B3" s="13" t="s">
        <v>49</v>
      </c>
      <c r="C3" s="13" t="s">
        <v>243</v>
      </c>
      <c r="D3" s="14">
        <v>2009</v>
      </c>
      <c r="E3" s="14">
        <v>2008</v>
      </c>
      <c r="F3" s="14">
        <v>2007</v>
      </c>
      <c r="G3" s="14">
        <v>2006</v>
      </c>
      <c r="H3" s="14">
        <v>2005</v>
      </c>
      <c r="I3" s="45">
        <v>2004</v>
      </c>
      <c r="J3" s="45">
        <v>2003</v>
      </c>
      <c r="K3" s="45">
        <v>2002</v>
      </c>
      <c r="L3" s="45">
        <v>2001</v>
      </c>
      <c r="M3" s="45" t="s">
        <v>108</v>
      </c>
      <c r="N3" s="45">
        <v>1999</v>
      </c>
      <c r="O3" s="45">
        <v>1998</v>
      </c>
      <c r="P3" s="45">
        <v>1997</v>
      </c>
      <c r="Q3" s="35">
        <v>1996</v>
      </c>
      <c r="R3" s="28">
        <v>1995</v>
      </c>
      <c r="S3" s="28">
        <v>1994</v>
      </c>
      <c r="T3" s="28">
        <v>1993</v>
      </c>
      <c r="U3" s="28">
        <v>1992</v>
      </c>
      <c r="V3" s="28">
        <v>1991</v>
      </c>
      <c r="W3" s="28">
        <v>1990</v>
      </c>
      <c r="X3" s="39"/>
      <c r="Y3" s="23"/>
    </row>
    <row r="4" spans="1:25" ht="12.75">
      <c r="A4" s="2" t="s">
        <v>171</v>
      </c>
      <c r="B4" s="2" t="s">
        <v>0</v>
      </c>
      <c r="C4" s="2" t="s">
        <v>177</v>
      </c>
      <c r="D4" s="75">
        <v>110857</v>
      </c>
      <c r="E4" s="75">
        <v>110449</v>
      </c>
      <c r="F4" s="75">
        <v>105913</v>
      </c>
      <c r="G4" s="75">
        <v>101439</v>
      </c>
      <c r="H4" s="203">
        <v>96395</v>
      </c>
      <c r="I4" s="188">
        <v>89967</v>
      </c>
      <c r="J4" s="188">
        <v>85338</v>
      </c>
      <c r="K4" s="188">
        <v>88046</v>
      </c>
      <c r="L4" s="188">
        <v>82380</v>
      </c>
      <c r="M4" s="188">
        <v>67157</v>
      </c>
      <c r="N4" s="188">
        <v>64896</v>
      </c>
      <c r="O4" s="188">
        <v>61273</v>
      </c>
      <c r="P4" s="188">
        <v>58595</v>
      </c>
      <c r="Q4" s="204">
        <v>55405</v>
      </c>
      <c r="R4" s="129">
        <v>65317</v>
      </c>
      <c r="S4" s="129">
        <v>33676</v>
      </c>
      <c r="T4" s="174">
        <v>33420</v>
      </c>
      <c r="U4" s="129">
        <v>32137</v>
      </c>
      <c r="V4" s="205">
        <v>32760</v>
      </c>
      <c r="W4" s="129">
        <v>31122</v>
      </c>
      <c r="X4" s="39"/>
      <c r="Y4" s="23"/>
    </row>
    <row r="5" spans="1:25" ht="15">
      <c r="A5" s="2" t="s">
        <v>171</v>
      </c>
      <c r="B5" s="2" t="s">
        <v>137</v>
      </c>
      <c r="C5" s="2" t="s">
        <v>244</v>
      </c>
      <c r="D5" s="75">
        <v>9648</v>
      </c>
      <c r="E5" s="75">
        <v>8554</v>
      </c>
      <c r="F5" s="75">
        <v>10147</v>
      </c>
      <c r="G5" s="75">
        <v>8505</v>
      </c>
      <c r="H5" s="203">
        <v>1928</v>
      </c>
      <c r="I5" s="188">
        <v>7669</v>
      </c>
      <c r="J5" s="188">
        <v>7757</v>
      </c>
      <c r="K5" s="188">
        <v>9101</v>
      </c>
      <c r="L5" s="188">
        <f>SUM(L6:L15)</f>
        <v>9492</v>
      </c>
      <c r="M5" s="188">
        <f>SUM(M6:M15)</f>
        <v>10534</v>
      </c>
      <c r="N5" s="188">
        <v>6733</v>
      </c>
      <c r="O5" s="188">
        <v>6428</v>
      </c>
      <c r="P5" s="188">
        <v>5568</v>
      </c>
      <c r="Q5" s="204">
        <v>4581</v>
      </c>
      <c r="R5" s="174">
        <v>7350</v>
      </c>
      <c r="S5" s="174">
        <v>1810</v>
      </c>
      <c r="T5" s="129">
        <v>2172</v>
      </c>
      <c r="U5" s="129">
        <v>8608</v>
      </c>
      <c r="V5" s="206">
        <v>2605</v>
      </c>
      <c r="W5" s="129">
        <v>3338</v>
      </c>
      <c r="X5" s="39"/>
      <c r="Y5" s="23"/>
    </row>
    <row r="6" spans="1:25" ht="12.75">
      <c r="A6" s="2" t="s">
        <v>171</v>
      </c>
      <c r="B6" s="2" t="s">
        <v>50</v>
      </c>
      <c r="C6" s="2" t="s">
        <v>245</v>
      </c>
      <c r="D6" s="75">
        <f>3235+3946</f>
        <v>7181</v>
      </c>
      <c r="E6" s="75">
        <v>5287</v>
      </c>
      <c r="F6" s="75">
        <v>4684</v>
      </c>
      <c r="G6" s="75">
        <v>4289</v>
      </c>
      <c r="H6" s="203">
        <f>2474+1577</f>
        <v>4051</v>
      </c>
      <c r="I6" s="188">
        <f>2429+2026</f>
        <v>4455</v>
      </c>
      <c r="J6" s="188">
        <v>4820</v>
      </c>
      <c r="K6" s="188">
        <v>5487</v>
      </c>
      <c r="L6" s="188">
        <v>4473</v>
      </c>
      <c r="M6" s="188">
        <v>2909</v>
      </c>
      <c r="N6" s="188">
        <v>2613</v>
      </c>
      <c r="O6" s="188">
        <v>2463</v>
      </c>
      <c r="P6" s="188">
        <v>2611</v>
      </c>
      <c r="Q6" s="204">
        <v>2277</v>
      </c>
      <c r="R6" s="129">
        <v>1254</v>
      </c>
      <c r="S6" s="129">
        <v>676</v>
      </c>
      <c r="T6" s="129">
        <v>1012</v>
      </c>
      <c r="U6" s="129">
        <v>781</v>
      </c>
      <c r="V6" s="206">
        <v>662</v>
      </c>
      <c r="W6" s="129">
        <v>533</v>
      </c>
      <c r="X6" s="39"/>
      <c r="Y6" s="23"/>
    </row>
    <row r="7" spans="1:25" ht="12.75">
      <c r="A7" s="2" t="s">
        <v>171</v>
      </c>
      <c r="B7" s="2" t="s">
        <v>51</v>
      </c>
      <c r="C7" s="2" t="s">
        <v>246</v>
      </c>
      <c r="D7" s="75">
        <v>413</v>
      </c>
      <c r="E7" s="75">
        <v>1493</v>
      </c>
      <c r="F7" s="75">
        <v>2651</v>
      </c>
      <c r="G7" s="75">
        <v>2072</v>
      </c>
      <c r="H7" s="203">
        <v>1775</v>
      </c>
      <c r="I7" s="188">
        <v>2604</v>
      </c>
      <c r="J7" s="188">
        <v>2482</v>
      </c>
      <c r="K7" s="188">
        <v>3065</v>
      </c>
      <c r="L7" s="188">
        <v>3286</v>
      </c>
      <c r="M7" s="188">
        <v>2977</v>
      </c>
      <c r="N7" s="188">
        <v>2216</v>
      </c>
      <c r="O7" s="188">
        <v>1510</v>
      </c>
      <c r="P7" s="188">
        <v>1219</v>
      </c>
      <c r="Q7" s="204">
        <v>939</v>
      </c>
      <c r="R7" s="174">
        <v>2370</v>
      </c>
      <c r="S7" s="129">
        <v>910</v>
      </c>
      <c r="T7" s="129">
        <v>680</v>
      </c>
      <c r="U7" s="129">
        <v>462</v>
      </c>
      <c r="V7" s="206">
        <v>607</v>
      </c>
      <c r="W7" s="129">
        <v>626</v>
      </c>
      <c r="X7" s="39"/>
      <c r="Y7" s="23"/>
    </row>
    <row r="8" spans="1:25" ht="12.75">
      <c r="A8" s="2" t="s">
        <v>171</v>
      </c>
      <c r="B8" s="2" t="s">
        <v>92</v>
      </c>
      <c r="C8" s="2" t="s">
        <v>247</v>
      </c>
      <c r="D8" s="75">
        <v>2503</v>
      </c>
      <c r="E8" s="75">
        <v>2207</v>
      </c>
      <c r="F8" s="75">
        <v>2870</v>
      </c>
      <c r="G8" s="75">
        <v>2475</v>
      </c>
      <c r="H8" s="203">
        <v>1886</v>
      </c>
      <c r="I8" s="188">
        <v>1777</v>
      </c>
      <c r="J8" s="188">
        <v>1559</v>
      </c>
      <c r="K8" s="188">
        <v>1986</v>
      </c>
      <c r="L8" s="188">
        <v>2976</v>
      </c>
      <c r="M8" s="188">
        <v>2720</v>
      </c>
      <c r="N8" s="188">
        <v>2123</v>
      </c>
      <c r="O8" s="188">
        <v>2046</v>
      </c>
      <c r="P8" s="188">
        <v>1259</v>
      </c>
      <c r="Q8" s="204">
        <v>1352</v>
      </c>
      <c r="R8" s="174">
        <v>2483</v>
      </c>
      <c r="S8" s="129" t="s">
        <v>39</v>
      </c>
      <c r="T8" s="129" t="s">
        <v>39</v>
      </c>
      <c r="U8" s="129" t="s">
        <v>39</v>
      </c>
      <c r="V8" s="206" t="s">
        <v>39</v>
      </c>
      <c r="W8" s="129" t="s">
        <v>39</v>
      </c>
      <c r="X8" s="39"/>
      <c r="Y8" s="23"/>
    </row>
    <row r="9" spans="1:25" ht="12.75">
      <c r="A9" s="2" t="s">
        <v>171</v>
      </c>
      <c r="B9" s="2" t="s">
        <v>52</v>
      </c>
      <c r="C9" s="2" t="s">
        <v>248</v>
      </c>
      <c r="D9" s="188"/>
      <c r="E9" s="188" t="s">
        <v>39</v>
      </c>
      <c r="F9" s="188" t="s">
        <v>39</v>
      </c>
      <c r="G9" s="188" t="s">
        <v>39</v>
      </c>
      <c r="H9" s="204" t="s">
        <v>39</v>
      </c>
      <c r="I9" s="188" t="s">
        <v>39</v>
      </c>
      <c r="J9" s="188" t="s">
        <v>39</v>
      </c>
      <c r="K9" s="188" t="s">
        <v>39</v>
      </c>
      <c r="L9" s="188" t="s">
        <v>39</v>
      </c>
      <c r="M9" s="188" t="s">
        <v>39</v>
      </c>
      <c r="N9" s="188" t="s">
        <v>39</v>
      </c>
      <c r="O9" s="188" t="s">
        <v>39</v>
      </c>
      <c r="P9" s="188" t="s">
        <v>39</v>
      </c>
      <c r="Q9" s="204" t="s">
        <v>39</v>
      </c>
      <c r="R9" s="129" t="s">
        <v>39</v>
      </c>
      <c r="S9" s="129">
        <v>495</v>
      </c>
      <c r="T9" s="129">
        <v>35</v>
      </c>
      <c r="U9" s="174" t="s">
        <v>53</v>
      </c>
      <c r="V9" s="206">
        <v>186</v>
      </c>
      <c r="W9" s="129">
        <v>507</v>
      </c>
      <c r="X9" s="39"/>
      <c r="Y9" s="23"/>
    </row>
    <row r="10" spans="1:25" ht="12.75">
      <c r="A10" s="2" t="s">
        <v>171</v>
      </c>
      <c r="B10" s="2" t="s">
        <v>94</v>
      </c>
      <c r="C10" s="2" t="s">
        <v>249</v>
      </c>
      <c r="D10" s="188"/>
      <c r="E10" s="188" t="s">
        <v>39</v>
      </c>
      <c r="F10" s="188" t="s">
        <v>39</v>
      </c>
      <c r="G10" s="188" t="s">
        <v>39</v>
      </c>
      <c r="H10" s="204" t="s">
        <v>39</v>
      </c>
      <c r="I10" s="188" t="s">
        <v>39</v>
      </c>
      <c r="J10" s="188" t="s">
        <v>39</v>
      </c>
      <c r="K10" s="188" t="s">
        <v>39</v>
      </c>
      <c r="L10" s="188" t="s">
        <v>39</v>
      </c>
      <c r="M10" s="188" t="s">
        <v>39</v>
      </c>
      <c r="N10" s="188" t="s">
        <v>39</v>
      </c>
      <c r="O10" s="188" t="s">
        <v>39</v>
      </c>
      <c r="P10" s="188" t="s">
        <v>39</v>
      </c>
      <c r="Q10" s="204" t="s">
        <v>39</v>
      </c>
      <c r="R10" s="129" t="s">
        <v>39</v>
      </c>
      <c r="S10" s="129">
        <v>869</v>
      </c>
      <c r="T10" s="129">
        <v>515</v>
      </c>
      <c r="U10" s="129">
        <v>375</v>
      </c>
      <c r="V10" s="206">
        <v>468</v>
      </c>
      <c r="W10" s="129">
        <v>481</v>
      </c>
      <c r="X10" s="39"/>
      <c r="Y10" s="23"/>
    </row>
    <row r="11" spans="1:25" ht="12.75">
      <c r="A11" s="2" t="s">
        <v>171</v>
      </c>
      <c r="B11" s="2" t="s">
        <v>93</v>
      </c>
      <c r="C11" s="2" t="s">
        <v>250</v>
      </c>
      <c r="D11" s="188"/>
      <c r="E11" s="188" t="s">
        <v>39</v>
      </c>
      <c r="F11" s="188" t="s">
        <v>39</v>
      </c>
      <c r="G11" s="188" t="s">
        <v>39</v>
      </c>
      <c r="H11" s="204" t="s">
        <v>39</v>
      </c>
      <c r="I11" s="188" t="s">
        <v>39</v>
      </c>
      <c r="J11" s="188" t="s">
        <v>39</v>
      </c>
      <c r="K11" s="188" t="s">
        <v>39</v>
      </c>
      <c r="L11" s="188" t="s">
        <v>39</v>
      </c>
      <c r="M11" s="188">
        <v>644</v>
      </c>
      <c r="N11" s="188">
        <v>491</v>
      </c>
      <c r="O11" s="188">
        <v>528</v>
      </c>
      <c r="P11" s="188">
        <v>438</v>
      </c>
      <c r="Q11" s="204">
        <v>-235</v>
      </c>
      <c r="R11" s="129">
        <v>739</v>
      </c>
      <c r="S11" s="129" t="s">
        <v>39</v>
      </c>
      <c r="T11" s="129" t="s">
        <v>39</v>
      </c>
      <c r="U11" s="129" t="s">
        <v>39</v>
      </c>
      <c r="V11" s="206" t="s">
        <v>39</v>
      </c>
      <c r="W11" s="129" t="s">
        <v>39</v>
      </c>
      <c r="X11" s="39"/>
      <c r="Y11" s="23"/>
    </row>
    <row r="12" spans="1:25" ht="12.75">
      <c r="A12" s="2" t="s">
        <v>171</v>
      </c>
      <c r="B12" s="2" t="s">
        <v>54</v>
      </c>
      <c r="C12" s="2" t="s">
        <v>251</v>
      </c>
      <c r="D12" s="75">
        <v>-449</v>
      </c>
      <c r="E12" s="75">
        <v>-433</v>
      </c>
      <c r="F12" s="75">
        <v>-58</v>
      </c>
      <c r="G12" s="75">
        <v>-331</v>
      </c>
      <c r="H12" s="203">
        <v>-5784</v>
      </c>
      <c r="I12" s="188">
        <v>-1167</v>
      </c>
      <c r="J12" s="188">
        <v>26</v>
      </c>
      <c r="K12" s="188">
        <v>-300</v>
      </c>
      <c r="L12" s="188">
        <v>-233</v>
      </c>
      <c r="M12" s="188">
        <v>-18</v>
      </c>
      <c r="N12" s="188">
        <v>-108</v>
      </c>
      <c r="O12" s="188">
        <v>285</v>
      </c>
      <c r="P12" s="188">
        <v>384</v>
      </c>
      <c r="Q12" s="204">
        <v>436</v>
      </c>
      <c r="R12" s="129">
        <v>299</v>
      </c>
      <c r="S12" s="129">
        <v>193</v>
      </c>
      <c r="T12" s="174" t="s">
        <v>55</v>
      </c>
      <c r="U12" s="129">
        <v>197</v>
      </c>
      <c r="V12" s="206">
        <v>224</v>
      </c>
      <c r="W12" s="129">
        <v>191</v>
      </c>
      <c r="X12" s="40"/>
      <c r="Y12" s="23"/>
    </row>
    <row r="13" spans="2:25" ht="12.75">
      <c r="B13" s="2" t="s">
        <v>56</v>
      </c>
      <c r="C13" s="2" t="s">
        <v>252</v>
      </c>
      <c r="D13" s="188" t="s">
        <v>39</v>
      </c>
      <c r="E13" s="188" t="s">
        <v>39</v>
      </c>
      <c r="F13" s="188" t="s">
        <v>39</v>
      </c>
      <c r="G13" s="188" t="s">
        <v>39</v>
      </c>
      <c r="H13" s="204" t="s">
        <v>39</v>
      </c>
      <c r="I13" s="188" t="s">
        <v>39</v>
      </c>
      <c r="J13" s="188" t="s">
        <v>39</v>
      </c>
      <c r="K13" s="188" t="s">
        <v>39</v>
      </c>
      <c r="L13" s="188" t="s">
        <v>39</v>
      </c>
      <c r="M13" s="188" t="s">
        <v>39</v>
      </c>
      <c r="N13" s="188" t="s">
        <v>39</v>
      </c>
      <c r="O13" s="188">
        <v>3</v>
      </c>
      <c r="P13" s="188">
        <v>29</v>
      </c>
      <c r="Q13" s="204">
        <v>100</v>
      </c>
      <c r="R13" s="129">
        <v>210</v>
      </c>
      <c r="S13" s="129">
        <v>175</v>
      </c>
      <c r="T13" s="129">
        <v>204</v>
      </c>
      <c r="U13" s="129">
        <v>777</v>
      </c>
      <c r="V13" s="206">
        <v>776</v>
      </c>
      <c r="W13" s="129">
        <v>837</v>
      </c>
      <c r="X13" s="39"/>
      <c r="Y13" s="23"/>
    </row>
    <row r="14" spans="2:25" ht="12.75">
      <c r="B14" s="2" t="s">
        <v>95</v>
      </c>
      <c r="C14" s="2" t="s">
        <v>253</v>
      </c>
      <c r="D14" s="188" t="s">
        <v>39</v>
      </c>
      <c r="E14" s="188" t="s">
        <v>39</v>
      </c>
      <c r="F14" s="188" t="s">
        <v>39</v>
      </c>
      <c r="G14" s="188" t="s">
        <v>39</v>
      </c>
      <c r="H14" s="204" t="s">
        <v>39</v>
      </c>
      <c r="I14" s="188" t="s">
        <v>39</v>
      </c>
      <c r="J14" s="207">
        <v>-1130</v>
      </c>
      <c r="K14" s="207">
        <v>-1137</v>
      </c>
      <c r="L14" s="207">
        <v>-1010</v>
      </c>
      <c r="M14" s="207">
        <v>-729</v>
      </c>
      <c r="N14" s="207">
        <v>-602</v>
      </c>
      <c r="O14" s="207">
        <v>-407</v>
      </c>
      <c r="P14" s="207">
        <v>-372</v>
      </c>
      <c r="Q14" s="208" t="s">
        <v>57</v>
      </c>
      <c r="R14" s="174" t="s">
        <v>58</v>
      </c>
      <c r="S14" s="174">
        <v>-288</v>
      </c>
      <c r="T14" s="174" t="s">
        <v>59</v>
      </c>
      <c r="U14" s="174" t="s">
        <v>60</v>
      </c>
      <c r="V14" s="205" t="s">
        <v>61</v>
      </c>
      <c r="W14" s="174" t="s">
        <v>62</v>
      </c>
      <c r="X14" s="39"/>
      <c r="Y14" s="23"/>
    </row>
    <row r="15" spans="2:25" ht="15">
      <c r="B15" s="2" t="s">
        <v>138</v>
      </c>
      <c r="C15" s="2" t="s">
        <v>254</v>
      </c>
      <c r="D15" s="188" t="s">
        <v>39</v>
      </c>
      <c r="E15" s="188" t="s">
        <v>39</v>
      </c>
      <c r="F15" s="188" t="s">
        <v>39</v>
      </c>
      <c r="G15" s="188" t="s">
        <v>39</v>
      </c>
      <c r="H15" s="204" t="s">
        <v>39</v>
      </c>
      <c r="I15" s="188" t="s">
        <v>39</v>
      </c>
      <c r="J15" s="188" t="s">
        <v>39</v>
      </c>
      <c r="K15" s="188" t="s">
        <v>39</v>
      </c>
      <c r="L15" s="188" t="s">
        <v>39</v>
      </c>
      <c r="M15" s="188">
        <v>2031</v>
      </c>
      <c r="N15" s="188" t="s">
        <v>39</v>
      </c>
      <c r="O15" s="188" t="s">
        <v>39</v>
      </c>
      <c r="P15" s="188" t="s">
        <v>39</v>
      </c>
      <c r="Q15" s="204" t="s">
        <v>39</v>
      </c>
      <c r="R15" s="129">
        <v>296</v>
      </c>
      <c r="S15" s="174">
        <v>-1220</v>
      </c>
      <c r="T15" s="129">
        <v>25</v>
      </c>
      <c r="U15" s="129">
        <v>6577</v>
      </c>
      <c r="V15" s="205" t="s">
        <v>63</v>
      </c>
      <c r="W15" s="129">
        <v>268</v>
      </c>
      <c r="X15" s="39"/>
      <c r="Y15" s="23"/>
    </row>
    <row r="16" spans="4:25" ht="12.75">
      <c r="D16" s="75"/>
      <c r="E16" s="75"/>
      <c r="F16" s="75"/>
      <c r="G16" s="75"/>
      <c r="H16" s="203"/>
      <c r="I16" s="188"/>
      <c r="J16" s="188"/>
      <c r="K16" s="188"/>
      <c r="L16" s="188"/>
      <c r="M16" s="188"/>
      <c r="N16" s="188"/>
      <c r="O16" s="188"/>
      <c r="P16" s="188"/>
      <c r="Q16" s="204"/>
      <c r="R16" s="129"/>
      <c r="S16" s="129"/>
      <c r="T16" s="129"/>
      <c r="U16" s="129"/>
      <c r="V16" s="206"/>
      <c r="W16" s="129"/>
      <c r="X16" s="39"/>
      <c r="Y16" s="23"/>
    </row>
    <row r="17" spans="2:25" ht="12.75">
      <c r="B17" s="2" t="s">
        <v>64</v>
      </c>
      <c r="C17" s="2" t="s">
        <v>255</v>
      </c>
      <c r="D17" s="75">
        <v>158</v>
      </c>
      <c r="E17" s="75">
        <v>246</v>
      </c>
      <c r="F17" s="75">
        <v>193</v>
      </c>
      <c r="G17" s="75">
        <v>179</v>
      </c>
      <c r="H17" s="203">
        <v>156</v>
      </c>
      <c r="I17" s="188">
        <v>453</v>
      </c>
      <c r="J17" s="188">
        <v>331</v>
      </c>
      <c r="K17" s="188">
        <v>409</v>
      </c>
      <c r="L17" s="188">
        <v>380</v>
      </c>
      <c r="M17" s="188">
        <v>531</v>
      </c>
      <c r="N17" s="188">
        <v>322</v>
      </c>
      <c r="O17" s="188">
        <v>280</v>
      </c>
      <c r="P17" s="188">
        <v>280</v>
      </c>
      <c r="Q17" s="204">
        <v>319</v>
      </c>
      <c r="R17" s="129">
        <v>296</v>
      </c>
      <c r="S17" s="129">
        <v>252</v>
      </c>
      <c r="T17" s="129">
        <v>217</v>
      </c>
      <c r="U17" s="129">
        <v>319</v>
      </c>
      <c r="V17" s="206">
        <v>320</v>
      </c>
      <c r="W17" s="129">
        <v>469</v>
      </c>
      <c r="X17" s="39"/>
      <c r="Y17" s="23"/>
    </row>
    <row r="18" spans="2:25" ht="12.75">
      <c r="B18" s="38" t="s">
        <v>65</v>
      </c>
      <c r="C18" s="38" t="s">
        <v>256</v>
      </c>
      <c r="D18" s="209">
        <v>-1802</v>
      </c>
      <c r="E18" s="209">
        <v>-2563</v>
      </c>
      <c r="F18" s="209">
        <v>-2103</v>
      </c>
      <c r="G18" s="209">
        <v>-1851</v>
      </c>
      <c r="H18" s="210">
        <v>-1651</v>
      </c>
      <c r="I18" s="211">
        <v>-1537</v>
      </c>
      <c r="J18" s="211">
        <v>-1121</v>
      </c>
      <c r="K18" s="211">
        <v>-1432</v>
      </c>
      <c r="L18" s="211">
        <v>-1782</v>
      </c>
      <c r="M18" s="211">
        <v>-1738</v>
      </c>
      <c r="N18" s="211">
        <v>-1534</v>
      </c>
      <c r="O18" s="211">
        <v>-1539</v>
      </c>
      <c r="P18" s="211">
        <v>-1391</v>
      </c>
      <c r="Q18" s="212">
        <v>-1327</v>
      </c>
      <c r="R18" s="213">
        <v>-1915</v>
      </c>
      <c r="S18" s="213">
        <v>-1002</v>
      </c>
      <c r="T18" s="213">
        <v>-1179</v>
      </c>
      <c r="U18" s="213">
        <v>-1899</v>
      </c>
      <c r="V18" s="214">
        <v>-1740</v>
      </c>
      <c r="W18" s="213">
        <v>-1404</v>
      </c>
      <c r="X18" s="40"/>
      <c r="Y18" s="23"/>
    </row>
    <row r="19" spans="1:25" ht="12.75">
      <c r="A19" s="2" t="s">
        <v>171</v>
      </c>
      <c r="B19" s="15" t="s">
        <v>2</v>
      </c>
      <c r="C19" s="15" t="s">
        <v>179</v>
      </c>
      <c r="D19" s="133">
        <f aca="true" t="shared" si="0" ref="D19:M19">SUM(D6:D18)</f>
        <v>8004</v>
      </c>
      <c r="E19" s="133">
        <f t="shared" si="0"/>
        <v>6237</v>
      </c>
      <c r="F19" s="133">
        <f t="shared" si="0"/>
        <v>8237</v>
      </c>
      <c r="G19" s="133">
        <f t="shared" si="0"/>
        <v>6833</v>
      </c>
      <c r="H19" s="133">
        <f t="shared" si="0"/>
        <v>433</v>
      </c>
      <c r="I19" s="133">
        <f t="shared" si="0"/>
        <v>6585</v>
      </c>
      <c r="J19" s="133">
        <f t="shared" si="0"/>
        <v>6967</v>
      </c>
      <c r="K19" s="133">
        <f t="shared" si="0"/>
        <v>8078</v>
      </c>
      <c r="L19" s="133">
        <f t="shared" si="0"/>
        <v>8090</v>
      </c>
      <c r="M19" s="133">
        <f t="shared" si="0"/>
        <v>9327</v>
      </c>
      <c r="N19" s="133">
        <v>5521</v>
      </c>
      <c r="O19" s="133">
        <v>5169</v>
      </c>
      <c r="P19" s="133">
        <v>4457</v>
      </c>
      <c r="Q19" s="133">
        <v>3573</v>
      </c>
      <c r="R19" s="133">
        <v>5731</v>
      </c>
      <c r="S19" s="215">
        <v>1060</v>
      </c>
      <c r="T19" s="215">
        <v>1210</v>
      </c>
      <c r="U19" s="133">
        <v>7028</v>
      </c>
      <c r="V19" s="216">
        <v>1185</v>
      </c>
      <c r="W19" s="133">
        <v>2403</v>
      </c>
      <c r="X19" s="39"/>
      <c r="Y19" s="23"/>
    </row>
    <row r="20" spans="4:25" ht="12.75">
      <c r="D20" s="75"/>
      <c r="E20" s="75"/>
      <c r="F20" s="75"/>
      <c r="G20" s="75"/>
      <c r="H20" s="203"/>
      <c r="I20" s="188"/>
      <c r="J20" s="188"/>
      <c r="K20" s="188"/>
      <c r="L20" s="188"/>
      <c r="M20" s="188"/>
      <c r="N20" s="188"/>
      <c r="O20" s="188"/>
      <c r="P20" s="188"/>
      <c r="Q20" s="204"/>
      <c r="R20" s="129"/>
      <c r="S20" s="129"/>
      <c r="T20" s="75"/>
      <c r="U20" s="129"/>
      <c r="V20" s="206"/>
      <c r="W20" s="129"/>
      <c r="X20" s="39"/>
      <c r="Y20" s="23"/>
    </row>
    <row r="21" spans="2:25" ht="12.75">
      <c r="B21" s="2" t="s">
        <v>66</v>
      </c>
      <c r="C21" s="2" t="s">
        <v>180</v>
      </c>
      <c r="D21" s="75">
        <v>-1716</v>
      </c>
      <c r="E21" s="75">
        <v>-639</v>
      </c>
      <c r="F21" s="75">
        <v>-1076</v>
      </c>
      <c r="G21" s="75">
        <v>-1366</v>
      </c>
      <c r="H21" s="203">
        <v>21</v>
      </c>
      <c r="I21" s="207">
        <v>-1393</v>
      </c>
      <c r="J21" s="207">
        <v>-1861</v>
      </c>
      <c r="K21" s="207">
        <v>-2341</v>
      </c>
      <c r="L21" s="207">
        <v>-2444</v>
      </c>
      <c r="M21" s="207">
        <v>-2133</v>
      </c>
      <c r="N21" s="207">
        <v>-1849</v>
      </c>
      <c r="O21" s="207">
        <v>-1680</v>
      </c>
      <c r="P21" s="207">
        <v>-1337</v>
      </c>
      <c r="Q21" s="208">
        <v>-1144</v>
      </c>
      <c r="R21" s="174">
        <v>-1915</v>
      </c>
      <c r="S21" s="174">
        <v>-423</v>
      </c>
      <c r="T21" s="174" t="s">
        <v>67</v>
      </c>
      <c r="U21" s="174" t="s">
        <v>68</v>
      </c>
      <c r="V21" s="205" t="s">
        <v>69</v>
      </c>
      <c r="W21" s="174" t="s">
        <v>70</v>
      </c>
      <c r="X21" s="40"/>
      <c r="Y21" s="23"/>
    </row>
    <row r="22" spans="2:25" ht="12.75">
      <c r="B22" s="38" t="s">
        <v>3</v>
      </c>
      <c r="C22" s="38" t="s">
        <v>181</v>
      </c>
      <c r="D22" s="217" t="s">
        <v>39</v>
      </c>
      <c r="E22" s="217" t="s">
        <v>39</v>
      </c>
      <c r="F22" s="217" t="s">
        <v>39</v>
      </c>
      <c r="G22" s="217" t="s">
        <v>39</v>
      </c>
      <c r="H22" s="218" t="s">
        <v>39</v>
      </c>
      <c r="I22" s="217" t="s">
        <v>39</v>
      </c>
      <c r="J22" s="211">
        <v>-31</v>
      </c>
      <c r="K22" s="211">
        <v>-44</v>
      </c>
      <c r="L22" s="211">
        <v>-59</v>
      </c>
      <c r="M22" s="211">
        <v>-46</v>
      </c>
      <c r="N22" s="211">
        <v>-70</v>
      </c>
      <c r="O22" s="211">
        <v>-110</v>
      </c>
      <c r="P22" s="211">
        <v>-361</v>
      </c>
      <c r="Q22" s="212">
        <v>-312</v>
      </c>
      <c r="R22" s="213">
        <v>-352</v>
      </c>
      <c r="S22" s="213" t="s">
        <v>71</v>
      </c>
      <c r="T22" s="213" t="s">
        <v>72</v>
      </c>
      <c r="U22" s="213" t="s">
        <v>73</v>
      </c>
      <c r="V22" s="214" t="s">
        <v>74</v>
      </c>
      <c r="W22" s="213" t="s">
        <v>75</v>
      </c>
      <c r="X22" s="40"/>
      <c r="Y22" s="23"/>
    </row>
    <row r="23" spans="1:25" ht="15">
      <c r="A23" s="2" t="s">
        <v>171</v>
      </c>
      <c r="B23" s="15" t="s">
        <v>139</v>
      </c>
      <c r="C23" s="15" t="s">
        <v>257</v>
      </c>
      <c r="D23" s="133">
        <f aca="true" t="shared" si="1" ref="D23:M23">SUM(D19:D22)</f>
        <v>6288</v>
      </c>
      <c r="E23" s="133">
        <f t="shared" si="1"/>
        <v>5598</v>
      </c>
      <c r="F23" s="133">
        <f t="shared" si="1"/>
        <v>7161</v>
      </c>
      <c r="G23" s="133">
        <f t="shared" si="1"/>
        <v>5467</v>
      </c>
      <c r="H23" s="133">
        <f t="shared" si="1"/>
        <v>454</v>
      </c>
      <c r="I23" s="133">
        <f t="shared" si="1"/>
        <v>5192</v>
      </c>
      <c r="J23" s="133">
        <f t="shared" si="1"/>
        <v>5075</v>
      </c>
      <c r="K23" s="133">
        <f t="shared" si="1"/>
        <v>5693</v>
      </c>
      <c r="L23" s="133">
        <f t="shared" si="1"/>
        <v>5587</v>
      </c>
      <c r="M23" s="133">
        <f t="shared" si="1"/>
        <v>7148</v>
      </c>
      <c r="N23" s="133">
        <v>3602</v>
      </c>
      <c r="O23" s="133">
        <v>3379</v>
      </c>
      <c r="P23" s="133">
        <v>2759</v>
      </c>
      <c r="Q23" s="133">
        <v>2117</v>
      </c>
      <c r="R23" s="133">
        <v>3464</v>
      </c>
      <c r="S23" s="133">
        <v>555</v>
      </c>
      <c r="T23" s="133">
        <v>1071</v>
      </c>
      <c r="U23" s="215">
        <v>6200</v>
      </c>
      <c r="V23" s="216">
        <v>901</v>
      </c>
      <c r="W23" s="133">
        <v>1506</v>
      </c>
      <c r="X23" s="39"/>
      <c r="Y23" s="23"/>
    </row>
    <row r="24" spans="4:24" ht="12.75">
      <c r="D24" s="75"/>
      <c r="E24" s="75"/>
      <c r="F24" s="75"/>
      <c r="G24" s="75"/>
      <c r="H24" s="203"/>
      <c r="I24" s="188"/>
      <c r="J24" s="188"/>
      <c r="K24" s="188"/>
      <c r="L24" s="188"/>
      <c r="M24" s="188"/>
      <c r="N24" s="188"/>
      <c r="O24" s="188"/>
      <c r="P24" s="188"/>
      <c r="Q24" s="204"/>
      <c r="R24" s="129"/>
      <c r="S24" s="129"/>
      <c r="T24" s="129"/>
      <c r="U24" s="129"/>
      <c r="V24" s="206"/>
      <c r="W24" s="129"/>
      <c r="X24" s="36"/>
    </row>
    <row r="25" spans="2:24" ht="12.75">
      <c r="B25" s="15" t="s">
        <v>76</v>
      </c>
      <c r="C25" s="15" t="s">
        <v>258</v>
      </c>
      <c r="D25" s="169"/>
      <c r="E25" s="169"/>
      <c r="F25" s="169"/>
      <c r="G25" s="169"/>
      <c r="H25" s="203"/>
      <c r="I25" s="188"/>
      <c r="J25" s="188"/>
      <c r="K25" s="188"/>
      <c r="L25" s="188"/>
      <c r="M25" s="188"/>
      <c r="N25" s="188"/>
      <c r="O25" s="188"/>
      <c r="P25" s="188"/>
      <c r="Q25" s="204"/>
      <c r="R25" s="129"/>
      <c r="S25" s="129"/>
      <c r="T25" s="129"/>
      <c r="U25" s="129"/>
      <c r="V25" s="206"/>
      <c r="W25" s="129"/>
      <c r="X25" s="36"/>
    </row>
    <row r="26" spans="2:24" s="23" customFormat="1" ht="12.75">
      <c r="B26" s="49" t="s">
        <v>77</v>
      </c>
      <c r="C26" s="87" t="s">
        <v>259</v>
      </c>
      <c r="D26" s="175">
        <f>113807-2062</f>
        <v>111745</v>
      </c>
      <c r="E26" s="175">
        <v>113866</v>
      </c>
      <c r="F26" s="175">
        <v>104150</v>
      </c>
      <c r="G26" s="175">
        <v>95994</v>
      </c>
      <c r="H26" s="219">
        <v>101840</v>
      </c>
      <c r="I26" s="184">
        <v>96162</v>
      </c>
      <c r="J26" s="184">
        <v>77885</v>
      </c>
      <c r="K26" s="184">
        <v>75462</v>
      </c>
      <c r="L26" s="184">
        <v>76967</v>
      </c>
      <c r="M26" s="184">
        <v>60962</v>
      </c>
      <c r="N26" s="184">
        <v>61065</v>
      </c>
      <c r="O26" s="184">
        <v>55147</v>
      </c>
      <c r="P26" s="184">
        <v>50351</v>
      </c>
      <c r="Q26" s="220">
        <v>48599</v>
      </c>
      <c r="R26" s="177">
        <v>46822</v>
      </c>
      <c r="S26" s="177">
        <v>31336</v>
      </c>
      <c r="T26" s="177">
        <v>30983</v>
      </c>
      <c r="U26" s="177">
        <v>30613</v>
      </c>
      <c r="V26" s="221">
        <v>30820</v>
      </c>
      <c r="W26" s="177">
        <v>32903</v>
      </c>
      <c r="X26" s="39"/>
    </row>
    <row r="27" spans="2:24" ht="12.75">
      <c r="B27" s="2" t="s">
        <v>78</v>
      </c>
      <c r="C27" s="2" t="s">
        <v>185</v>
      </c>
      <c r="D27" s="129">
        <v>30710</v>
      </c>
      <c r="E27" s="129">
        <f>36121+102</f>
        <v>36223</v>
      </c>
      <c r="F27" s="129">
        <f>33793+55</f>
        <v>33848</v>
      </c>
      <c r="G27" s="129">
        <v>32572</v>
      </c>
      <c r="H27" s="204">
        <v>29424</v>
      </c>
      <c r="I27" s="188">
        <v>25681</v>
      </c>
      <c r="J27" s="188">
        <v>22880</v>
      </c>
      <c r="K27" s="188">
        <v>24765</v>
      </c>
      <c r="L27" s="188">
        <v>23338</v>
      </c>
      <c r="M27" s="188">
        <v>21765</v>
      </c>
      <c r="N27" s="188">
        <v>18311</v>
      </c>
      <c r="O27" s="188">
        <v>18790</v>
      </c>
      <c r="P27" s="188">
        <v>16726</v>
      </c>
      <c r="Q27" s="204">
        <v>15461</v>
      </c>
      <c r="R27" s="129">
        <v>16435</v>
      </c>
      <c r="S27" s="129">
        <v>10606</v>
      </c>
      <c r="T27" s="129">
        <v>10409</v>
      </c>
      <c r="U27" s="129">
        <v>10775</v>
      </c>
      <c r="V27" s="206">
        <v>11022</v>
      </c>
      <c r="W27" s="129">
        <v>12252</v>
      </c>
      <c r="X27" s="39"/>
    </row>
    <row r="28" spans="2:24" ht="12.75">
      <c r="B28" s="2" t="s">
        <v>33</v>
      </c>
      <c r="C28" s="2" t="s">
        <v>197</v>
      </c>
      <c r="D28" s="129">
        <v>2062</v>
      </c>
      <c r="E28" s="129">
        <v>2499</v>
      </c>
      <c r="F28" s="129">
        <v>3663</v>
      </c>
      <c r="G28" s="129">
        <v>2970</v>
      </c>
      <c r="H28" s="204">
        <v>2035</v>
      </c>
      <c r="I28" s="188">
        <v>682</v>
      </c>
      <c r="J28" s="188">
        <v>4146</v>
      </c>
      <c r="K28" s="188">
        <v>6151</v>
      </c>
      <c r="L28" s="188">
        <v>3888</v>
      </c>
      <c r="M28" s="188">
        <v>3497</v>
      </c>
      <c r="N28" s="188">
        <v>1278</v>
      </c>
      <c r="O28" s="188">
        <v>1485</v>
      </c>
      <c r="P28" s="188">
        <v>1370</v>
      </c>
      <c r="Q28" s="204">
        <v>1072</v>
      </c>
      <c r="R28" s="129">
        <v>1128</v>
      </c>
      <c r="S28" s="129">
        <v>131</v>
      </c>
      <c r="T28" s="129">
        <v>175</v>
      </c>
      <c r="U28" s="174">
        <v>212</v>
      </c>
      <c r="V28" s="206">
        <v>247</v>
      </c>
      <c r="W28" s="129" t="s">
        <v>39</v>
      </c>
      <c r="X28" s="39"/>
    </row>
    <row r="29" spans="2:24" ht="12.75">
      <c r="B29" s="51" t="s">
        <v>79</v>
      </c>
      <c r="C29" s="88" t="s">
        <v>260</v>
      </c>
      <c r="D29" s="174">
        <v>194</v>
      </c>
      <c r="E29" s="174">
        <v>642</v>
      </c>
      <c r="F29" s="174">
        <v>366</v>
      </c>
      <c r="G29" s="174">
        <v>409</v>
      </c>
      <c r="H29" s="208">
        <v>237</v>
      </c>
      <c r="I29" s="188">
        <v>128</v>
      </c>
      <c r="J29" s="188">
        <v>749</v>
      </c>
      <c r="K29" s="188">
        <v>306</v>
      </c>
      <c r="L29" s="188">
        <v>406</v>
      </c>
      <c r="M29" s="188">
        <v>502</v>
      </c>
      <c r="N29" s="188">
        <v>2930</v>
      </c>
      <c r="O29" s="188">
        <v>1132</v>
      </c>
      <c r="P29" s="188">
        <v>676</v>
      </c>
      <c r="Q29" s="204">
        <v>1469</v>
      </c>
      <c r="R29" s="129">
        <v>1692</v>
      </c>
      <c r="S29" s="129">
        <v>1873</v>
      </c>
      <c r="T29" s="129">
        <v>1296</v>
      </c>
      <c r="U29" s="174">
        <v>3435</v>
      </c>
      <c r="V29" s="206">
        <v>672</v>
      </c>
      <c r="W29" s="129">
        <v>2216</v>
      </c>
      <c r="X29" s="39"/>
    </row>
    <row r="30" spans="2:24" ht="12.75">
      <c r="B30" s="38" t="s">
        <v>8</v>
      </c>
      <c r="C30" s="38" t="s">
        <v>187</v>
      </c>
      <c r="D30" s="222">
        <v>5148</v>
      </c>
      <c r="E30" s="222">
        <v>5738</v>
      </c>
      <c r="F30" s="222">
        <v>3023</v>
      </c>
      <c r="G30" s="222">
        <v>1599</v>
      </c>
      <c r="H30" s="218">
        <v>1684</v>
      </c>
      <c r="I30" s="217">
        <v>3498</v>
      </c>
      <c r="J30" s="217">
        <v>1696</v>
      </c>
      <c r="K30" s="217">
        <v>2520</v>
      </c>
      <c r="L30" s="217">
        <v>2189</v>
      </c>
      <c r="M30" s="217">
        <v>1440</v>
      </c>
      <c r="N30" s="217">
        <v>1630</v>
      </c>
      <c r="O30" s="217">
        <v>1819</v>
      </c>
      <c r="P30" s="217">
        <v>1582</v>
      </c>
      <c r="Q30" s="218">
        <v>1393</v>
      </c>
      <c r="R30" s="222">
        <v>2053</v>
      </c>
      <c r="S30" s="213">
        <v>982</v>
      </c>
      <c r="T30" s="222">
        <v>1388</v>
      </c>
      <c r="U30" s="222">
        <v>1064</v>
      </c>
      <c r="V30" s="223">
        <v>806</v>
      </c>
      <c r="W30" s="222">
        <v>1058</v>
      </c>
      <c r="X30" s="39"/>
    </row>
    <row r="31" spans="1:24" ht="12.75">
      <c r="A31" s="2" t="s">
        <v>171</v>
      </c>
      <c r="B31" s="15" t="s">
        <v>9</v>
      </c>
      <c r="C31" s="15" t="s">
        <v>188</v>
      </c>
      <c r="D31" s="133">
        <f>SUM(D26:D30)</f>
        <v>149859</v>
      </c>
      <c r="E31" s="133">
        <v>158968</v>
      </c>
      <c r="F31" s="133">
        <v>145050</v>
      </c>
      <c r="G31" s="133">
        <f aca="true" t="shared" si="2" ref="G31:M31">SUM(G26:G30)</f>
        <v>133544</v>
      </c>
      <c r="H31" s="133">
        <f t="shared" si="2"/>
        <v>135220</v>
      </c>
      <c r="I31" s="133">
        <f t="shared" si="2"/>
        <v>126151</v>
      </c>
      <c r="J31" s="133">
        <f t="shared" si="2"/>
        <v>107356</v>
      </c>
      <c r="K31" s="133">
        <f t="shared" si="2"/>
        <v>109204</v>
      </c>
      <c r="L31" s="133">
        <f t="shared" si="2"/>
        <v>106788</v>
      </c>
      <c r="M31" s="133">
        <f t="shared" si="2"/>
        <v>88166</v>
      </c>
      <c r="N31" s="133">
        <v>85214</v>
      </c>
      <c r="O31" s="133">
        <v>78373</v>
      </c>
      <c r="P31" s="133">
        <v>70705</v>
      </c>
      <c r="Q31" s="133">
        <v>67994</v>
      </c>
      <c r="R31" s="215">
        <v>68130</v>
      </c>
      <c r="S31" s="133">
        <v>44928</v>
      </c>
      <c r="T31" s="133">
        <v>44251</v>
      </c>
      <c r="U31" s="133">
        <v>46099</v>
      </c>
      <c r="V31" s="216">
        <v>43567</v>
      </c>
      <c r="W31" s="133">
        <v>48429</v>
      </c>
      <c r="X31" s="39"/>
    </row>
    <row r="32" spans="4:24" ht="12.75">
      <c r="D32" s="75"/>
      <c r="E32" s="75"/>
      <c r="F32" s="75"/>
      <c r="G32" s="75"/>
      <c r="H32" s="203"/>
      <c r="I32" s="188"/>
      <c r="J32" s="188"/>
      <c r="K32" s="188"/>
      <c r="L32" s="188"/>
      <c r="M32" s="188"/>
      <c r="N32" s="188"/>
      <c r="O32" s="188"/>
      <c r="P32" s="188"/>
      <c r="Q32" s="204"/>
      <c r="R32" s="129"/>
      <c r="S32" s="129"/>
      <c r="T32" s="129"/>
      <c r="U32" s="129"/>
      <c r="V32" s="206"/>
      <c r="W32" s="129"/>
      <c r="X32" s="39"/>
    </row>
    <row r="33" spans="1:24" s="23" customFormat="1" ht="12.75">
      <c r="A33" s="23" t="s">
        <v>171</v>
      </c>
      <c r="B33" s="23" t="s">
        <v>11</v>
      </c>
      <c r="C33" s="23" t="s">
        <v>190</v>
      </c>
      <c r="D33" s="177">
        <v>67156</v>
      </c>
      <c r="E33" s="177">
        <v>66450</v>
      </c>
      <c r="F33" s="177">
        <v>63590</v>
      </c>
      <c r="G33" s="177">
        <v>58299</v>
      </c>
      <c r="H33" s="220">
        <v>56343</v>
      </c>
      <c r="I33" s="184">
        <v>54350</v>
      </c>
      <c r="J33" s="184">
        <v>49754</v>
      </c>
      <c r="K33" s="184">
        <v>47983</v>
      </c>
      <c r="L33" s="184">
        <v>45983</v>
      </c>
      <c r="M33" s="184">
        <v>39898</v>
      </c>
      <c r="N33" s="184">
        <v>34133</v>
      </c>
      <c r="O33" s="184">
        <v>28404</v>
      </c>
      <c r="P33" s="184">
        <v>24653</v>
      </c>
      <c r="Q33" s="220">
        <v>22906</v>
      </c>
      <c r="R33" s="177">
        <v>22024</v>
      </c>
      <c r="S33" s="175">
        <v>19590</v>
      </c>
      <c r="T33" s="177">
        <v>19963</v>
      </c>
      <c r="U33" s="177">
        <v>18284</v>
      </c>
      <c r="V33" s="224">
        <v>11144</v>
      </c>
      <c r="W33" s="175">
        <v>11350</v>
      </c>
      <c r="X33" s="39"/>
    </row>
    <row r="34" spans="2:24" ht="12.75">
      <c r="B34" s="2" t="s">
        <v>3</v>
      </c>
      <c r="C34" s="2" t="s">
        <v>261</v>
      </c>
      <c r="D34" s="129">
        <v>750</v>
      </c>
      <c r="E34" s="129">
        <v>802</v>
      </c>
      <c r="F34" s="129">
        <v>689</v>
      </c>
      <c r="G34" s="129">
        <v>664</v>
      </c>
      <c r="H34" s="204">
        <v>767</v>
      </c>
      <c r="I34" s="188">
        <v>768</v>
      </c>
      <c r="J34" s="188">
        <v>751</v>
      </c>
      <c r="K34" s="188">
        <v>687</v>
      </c>
      <c r="L34" s="188">
        <v>736</v>
      </c>
      <c r="M34" s="188">
        <v>612</v>
      </c>
      <c r="N34" s="188">
        <v>587</v>
      </c>
      <c r="O34" s="188">
        <v>1386</v>
      </c>
      <c r="P34" s="188">
        <v>1496</v>
      </c>
      <c r="Q34" s="204">
        <v>3331</v>
      </c>
      <c r="R34" s="129">
        <v>3493</v>
      </c>
      <c r="S34" s="129">
        <v>853</v>
      </c>
      <c r="T34" s="129">
        <v>916</v>
      </c>
      <c r="U34" s="129">
        <v>807</v>
      </c>
      <c r="V34" s="206">
        <v>688</v>
      </c>
      <c r="W34" s="129">
        <v>586</v>
      </c>
      <c r="X34" s="39"/>
    </row>
    <row r="35" spans="2:24" ht="15">
      <c r="B35" s="51" t="s">
        <v>140</v>
      </c>
      <c r="C35" s="88" t="s">
        <v>262</v>
      </c>
      <c r="D35" s="174">
        <f>3567+9784</f>
        <v>13351</v>
      </c>
      <c r="E35" s="174">
        <v>13292</v>
      </c>
      <c r="F35" s="174">
        <v>14199</v>
      </c>
      <c r="G35" s="174">
        <v>14240</v>
      </c>
      <c r="H35" s="208">
        <v>17035</v>
      </c>
      <c r="I35" s="188">
        <v>16962</v>
      </c>
      <c r="J35" s="188">
        <v>13620</v>
      </c>
      <c r="K35" s="188">
        <v>14773</v>
      </c>
      <c r="L35" s="188">
        <v>14870</v>
      </c>
      <c r="M35" s="188">
        <v>13242</v>
      </c>
      <c r="N35" s="188">
        <v>8632</v>
      </c>
      <c r="O35" s="188">
        <v>10906</v>
      </c>
      <c r="P35" s="188">
        <v>10452</v>
      </c>
      <c r="Q35" s="204">
        <v>9441</v>
      </c>
      <c r="R35" s="129"/>
      <c r="S35" s="129"/>
      <c r="T35" s="129"/>
      <c r="U35" s="129"/>
      <c r="V35" s="206"/>
      <c r="W35" s="129"/>
      <c r="X35" s="39"/>
    </row>
    <row r="36" spans="2:24" ht="12.75">
      <c r="B36" s="2" t="s">
        <v>13</v>
      </c>
      <c r="C36" s="2" t="s">
        <v>193</v>
      </c>
      <c r="D36" s="129">
        <v>44766</v>
      </c>
      <c r="E36" s="129">
        <v>52886</v>
      </c>
      <c r="F36" s="129">
        <v>42323</v>
      </c>
      <c r="G36" s="129">
        <v>38601</v>
      </c>
      <c r="H36" s="204">
        <v>39036</v>
      </c>
      <c r="I36" s="188">
        <v>35021</v>
      </c>
      <c r="J36" s="188">
        <v>25266</v>
      </c>
      <c r="K36" s="188">
        <v>27498</v>
      </c>
      <c r="L36" s="188">
        <v>27746</v>
      </c>
      <c r="M36" s="188">
        <v>18694</v>
      </c>
      <c r="N36" s="188">
        <v>28881</v>
      </c>
      <c r="O36" s="188">
        <v>25806</v>
      </c>
      <c r="P36" s="188">
        <v>22647</v>
      </c>
      <c r="Q36" s="204">
        <v>21396</v>
      </c>
      <c r="R36" s="129">
        <v>22439</v>
      </c>
      <c r="S36" s="129">
        <v>13559</v>
      </c>
      <c r="T36" s="129">
        <v>13673</v>
      </c>
      <c r="U36" s="174">
        <v>15510</v>
      </c>
      <c r="V36" s="206">
        <v>19281</v>
      </c>
      <c r="W36" s="129">
        <v>21818</v>
      </c>
      <c r="X36" s="39"/>
    </row>
    <row r="37" spans="2:24" ht="12.75">
      <c r="B37" s="48" t="s">
        <v>80</v>
      </c>
      <c r="C37" s="89" t="s">
        <v>263</v>
      </c>
      <c r="D37" s="213">
        <v>23836</v>
      </c>
      <c r="E37" s="213">
        <v>25538</v>
      </c>
      <c r="F37" s="213">
        <v>24249</v>
      </c>
      <c r="G37" s="213">
        <v>21740</v>
      </c>
      <c r="H37" s="212">
        <v>22039</v>
      </c>
      <c r="I37" s="211">
        <v>19050</v>
      </c>
      <c r="J37" s="211">
        <v>17965</v>
      </c>
      <c r="K37" s="211">
        <v>18263</v>
      </c>
      <c r="L37" s="211">
        <v>17453</v>
      </c>
      <c r="M37" s="211">
        <v>15720</v>
      </c>
      <c r="N37" s="211">
        <v>12981</v>
      </c>
      <c r="O37" s="211">
        <v>11871</v>
      </c>
      <c r="P37" s="211">
        <v>11457</v>
      </c>
      <c r="Q37" s="212">
        <v>10920</v>
      </c>
      <c r="R37" s="222">
        <v>20174</v>
      </c>
      <c r="S37" s="222">
        <v>10926</v>
      </c>
      <c r="T37" s="222">
        <v>9699</v>
      </c>
      <c r="U37" s="222">
        <v>11498</v>
      </c>
      <c r="V37" s="223">
        <v>12454</v>
      </c>
      <c r="W37" s="222">
        <v>14675</v>
      </c>
      <c r="X37" s="39"/>
    </row>
    <row r="38" spans="1:24" ht="12.75">
      <c r="A38" s="2" t="s">
        <v>171</v>
      </c>
      <c r="B38" s="15" t="s">
        <v>81</v>
      </c>
      <c r="C38" s="15" t="s">
        <v>195</v>
      </c>
      <c r="D38" s="133">
        <f>SUM(D33:D37)</f>
        <v>149859</v>
      </c>
      <c r="E38" s="133">
        <v>158968</v>
      </c>
      <c r="F38" s="133">
        <v>145050</v>
      </c>
      <c r="G38" s="133">
        <f aca="true" t="shared" si="3" ref="G38:M38">SUM(G33:G37)</f>
        <v>133544</v>
      </c>
      <c r="H38" s="133">
        <f t="shared" si="3"/>
        <v>135220</v>
      </c>
      <c r="I38" s="133">
        <f t="shared" si="3"/>
        <v>126151</v>
      </c>
      <c r="J38" s="133">
        <f t="shared" si="3"/>
        <v>107356</v>
      </c>
      <c r="K38" s="133">
        <f t="shared" si="3"/>
        <v>109204</v>
      </c>
      <c r="L38" s="133">
        <f t="shared" si="3"/>
        <v>106788</v>
      </c>
      <c r="M38" s="133">
        <f t="shared" si="3"/>
        <v>88166</v>
      </c>
      <c r="N38" s="133">
        <v>85214</v>
      </c>
      <c r="O38" s="133">
        <v>78373</v>
      </c>
      <c r="P38" s="133">
        <v>70705</v>
      </c>
      <c r="Q38" s="133">
        <v>67994</v>
      </c>
      <c r="R38" s="215">
        <v>68130</v>
      </c>
      <c r="S38" s="133">
        <v>44928</v>
      </c>
      <c r="T38" s="133">
        <v>44251</v>
      </c>
      <c r="U38" s="133">
        <v>46099</v>
      </c>
      <c r="V38" s="216">
        <v>43567</v>
      </c>
      <c r="W38" s="133">
        <v>48429</v>
      </c>
      <c r="X38" s="69"/>
    </row>
    <row r="39" spans="4:24" ht="12.75">
      <c r="D39" s="75"/>
      <c r="E39" s="75"/>
      <c r="F39" s="75"/>
      <c r="G39" s="75"/>
      <c r="H39" s="203"/>
      <c r="I39" s="188"/>
      <c r="J39" s="188"/>
      <c r="K39" s="188"/>
      <c r="L39" s="188"/>
      <c r="M39" s="188"/>
      <c r="N39" s="188"/>
      <c r="O39" s="188"/>
      <c r="P39" s="188"/>
      <c r="Q39" s="204"/>
      <c r="R39" s="129"/>
      <c r="S39" s="129"/>
      <c r="T39" s="129"/>
      <c r="U39" s="129"/>
      <c r="V39" s="206"/>
      <c r="W39" s="129"/>
      <c r="X39" s="39"/>
    </row>
    <row r="40" spans="1:24" ht="15">
      <c r="A40" s="2" t="s">
        <v>171</v>
      </c>
      <c r="B40" s="51" t="s">
        <v>141</v>
      </c>
      <c r="C40" s="88" t="s">
        <v>264</v>
      </c>
      <c r="D40" s="174">
        <v>112344</v>
      </c>
      <c r="E40" s="174">
        <v>105955</v>
      </c>
      <c r="F40" s="174">
        <v>96368</v>
      </c>
      <c r="G40" s="174">
        <v>96192</v>
      </c>
      <c r="H40" s="208">
        <v>95341</v>
      </c>
      <c r="I40" s="188">
        <v>87208</v>
      </c>
      <c r="J40" s="188">
        <v>71687</v>
      </c>
      <c r="K40" s="188">
        <v>71863</v>
      </c>
      <c r="L40" s="188">
        <v>67878</v>
      </c>
      <c r="M40" s="188">
        <v>57501</v>
      </c>
      <c r="N40" s="188">
        <v>54616</v>
      </c>
      <c r="O40" s="188">
        <v>47400</v>
      </c>
      <c r="P40" s="188">
        <v>44840</v>
      </c>
      <c r="Q40" s="204">
        <v>43311</v>
      </c>
      <c r="R40" s="129">
        <v>47408</v>
      </c>
      <c r="S40" s="174">
        <v>31780</v>
      </c>
      <c r="T40" s="129">
        <v>31459</v>
      </c>
      <c r="U40" s="129">
        <v>29581</v>
      </c>
      <c r="V40" s="206">
        <v>30918</v>
      </c>
      <c r="W40" s="129">
        <v>24217</v>
      </c>
      <c r="X40" s="39"/>
    </row>
    <row r="41" spans="1:24" ht="12.75">
      <c r="A41" s="2" t="s">
        <v>171</v>
      </c>
      <c r="B41" s="2" t="s">
        <v>100</v>
      </c>
      <c r="C41" s="2" t="s">
        <v>265</v>
      </c>
      <c r="D41" s="129">
        <v>-40430</v>
      </c>
      <c r="E41" s="129">
        <v>-47002</v>
      </c>
      <c r="F41" s="129">
        <v>-37368</v>
      </c>
      <c r="G41" s="129">
        <v>-36399</v>
      </c>
      <c r="H41" s="204">
        <v>39826</v>
      </c>
      <c r="I41" s="188">
        <v>34745</v>
      </c>
      <c r="J41" s="188">
        <v>22306</v>
      </c>
      <c r="K41" s="188">
        <v>23899</v>
      </c>
      <c r="L41" s="188">
        <v>23861</v>
      </c>
      <c r="M41" s="188">
        <v>15880</v>
      </c>
      <c r="N41" s="188">
        <v>24073</v>
      </c>
      <c r="O41" s="188">
        <v>24756</v>
      </c>
      <c r="P41" s="188">
        <v>22254</v>
      </c>
      <c r="Q41" s="204">
        <v>20615</v>
      </c>
      <c r="R41" s="129">
        <v>20363</v>
      </c>
      <c r="S41" s="129" t="s">
        <v>39</v>
      </c>
      <c r="T41" s="129" t="s">
        <v>39</v>
      </c>
      <c r="U41" s="129" t="s">
        <v>39</v>
      </c>
      <c r="V41" s="206" t="s">
        <v>39</v>
      </c>
      <c r="W41" s="129" t="s">
        <v>39</v>
      </c>
      <c r="X41" s="39"/>
    </row>
    <row r="42" spans="1:24" ht="12.75">
      <c r="A42" s="2" t="s">
        <v>171</v>
      </c>
      <c r="B42" s="2" t="s">
        <v>99</v>
      </c>
      <c r="C42" s="2" t="s">
        <v>266</v>
      </c>
      <c r="D42" s="75"/>
      <c r="E42" s="75"/>
      <c r="F42" s="75"/>
      <c r="G42" s="75"/>
      <c r="H42" s="203"/>
      <c r="I42" s="188" t="s">
        <v>39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8" t="s">
        <v>39</v>
      </c>
      <c r="O42" s="188" t="s">
        <v>39</v>
      </c>
      <c r="P42" s="188" t="s">
        <v>39</v>
      </c>
      <c r="Q42" s="204" t="s">
        <v>39</v>
      </c>
      <c r="R42" s="129" t="s">
        <v>39</v>
      </c>
      <c r="S42" s="129">
        <v>10573</v>
      </c>
      <c r="T42" s="129">
        <v>10814</v>
      </c>
      <c r="U42" s="129">
        <v>10799</v>
      </c>
      <c r="V42" s="206">
        <v>17556</v>
      </c>
      <c r="W42" s="129">
        <v>18407</v>
      </c>
      <c r="X42" s="39"/>
    </row>
    <row r="43" spans="4:24" ht="12.75">
      <c r="D43" s="75"/>
      <c r="E43" s="75"/>
      <c r="F43" s="75"/>
      <c r="G43" s="75"/>
      <c r="H43" s="203"/>
      <c r="I43" s="188"/>
      <c r="J43" s="188"/>
      <c r="K43" s="188"/>
      <c r="L43" s="188"/>
      <c r="M43" s="188"/>
      <c r="N43" s="188"/>
      <c r="O43" s="188"/>
      <c r="P43" s="188"/>
      <c r="Q43" s="204"/>
      <c r="R43" s="129"/>
      <c r="S43" s="129"/>
      <c r="T43" s="129"/>
      <c r="U43" s="129"/>
      <c r="V43" s="206"/>
      <c r="W43" s="129"/>
      <c r="X43" s="39"/>
    </row>
    <row r="44" spans="1:24" ht="15">
      <c r="A44" s="2" t="s">
        <v>171</v>
      </c>
      <c r="B44" s="51" t="s">
        <v>142</v>
      </c>
      <c r="C44" s="88" t="s">
        <v>267</v>
      </c>
      <c r="D44" s="188">
        <v>14133</v>
      </c>
      <c r="E44" s="188">
        <v>7813</v>
      </c>
      <c r="F44" s="188">
        <v>8127</v>
      </c>
      <c r="G44" s="188">
        <v>6304</v>
      </c>
      <c r="H44" s="204">
        <v>7471</v>
      </c>
      <c r="I44" s="188">
        <v>8351</v>
      </c>
      <c r="J44" s="188">
        <v>10102</v>
      </c>
      <c r="K44" s="188">
        <v>12421</v>
      </c>
      <c r="L44" s="188">
        <v>14206</v>
      </c>
      <c r="M44" s="188">
        <v>9005</v>
      </c>
      <c r="N44" s="188">
        <v>8707</v>
      </c>
      <c r="O44" s="188">
        <v>6678</v>
      </c>
      <c r="P44" s="188">
        <v>6631</v>
      </c>
      <c r="Q44" s="204">
        <v>5959</v>
      </c>
      <c r="R44" s="174">
        <v>6533</v>
      </c>
      <c r="S44" s="129">
        <v>2422</v>
      </c>
      <c r="T44" s="129">
        <v>2689</v>
      </c>
      <c r="U44" s="174">
        <v>2930</v>
      </c>
      <c r="V44" s="206">
        <v>2329</v>
      </c>
      <c r="W44" s="129" t="s">
        <v>39</v>
      </c>
      <c r="X44" s="36"/>
    </row>
    <row r="45" spans="1:24" ht="15">
      <c r="A45" s="2" t="s">
        <v>171</v>
      </c>
      <c r="B45" s="2" t="s">
        <v>143</v>
      </c>
      <c r="C45" s="2" t="s">
        <v>268</v>
      </c>
      <c r="D45" s="207">
        <v>11490</v>
      </c>
      <c r="E45" s="207">
        <v>3810</v>
      </c>
      <c r="F45" s="207">
        <v>4508</v>
      </c>
      <c r="G45" s="207">
        <v>2772</v>
      </c>
      <c r="H45" s="208">
        <v>4362</v>
      </c>
      <c r="I45" s="207">
        <v>5435</v>
      </c>
      <c r="J45" s="207">
        <v>8134</v>
      </c>
      <c r="K45" s="207">
        <v>8620</v>
      </c>
      <c r="L45" s="207">
        <v>11249</v>
      </c>
      <c r="M45" s="207">
        <v>6652</v>
      </c>
      <c r="N45" s="207">
        <v>6740</v>
      </c>
      <c r="O45" s="207">
        <v>3875</v>
      </c>
      <c r="P45" s="207">
        <v>4850</v>
      </c>
      <c r="Q45" s="208">
        <v>4210</v>
      </c>
      <c r="R45" s="129">
        <v>4772</v>
      </c>
      <c r="S45" s="129">
        <v>1174</v>
      </c>
      <c r="T45" s="129">
        <v>1313</v>
      </c>
      <c r="U45" s="129">
        <v>1388</v>
      </c>
      <c r="V45" s="206">
        <v>633</v>
      </c>
      <c r="W45" s="129" t="s">
        <v>39</v>
      </c>
      <c r="X45" s="36"/>
    </row>
    <row r="46" spans="1:24" ht="15">
      <c r="A46" s="2" t="s">
        <v>171</v>
      </c>
      <c r="B46" s="2" t="s">
        <v>144</v>
      </c>
      <c r="C46" s="2" t="s">
        <v>269</v>
      </c>
      <c r="D46" s="188">
        <v>8483</v>
      </c>
      <c r="E46" s="188">
        <v>77</v>
      </c>
      <c r="F46" s="188">
        <v>1473</v>
      </c>
      <c r="G46" s="188">
        <v>1538</v>
      </c>
      <c r="H46" s="204">
        <v>1768</v>
      </c>
      <c r="I46" s="188">
        <v>-6529</v>
      </c>
      <c r="J46" s="188">
        <v>901</v>
      </c>
      <c r="K46" s="188">
        <v>-855</v>
      </c>
      <c r="L46" s="188">
        <v>-4254</v>
      </c>
      <c r="M46" s="188">
        <v>10609</v>
      </c>
      <c r="N46" s="188">
        <v>-3760</v>
      </c>
      <c r="O46" s="188">
        <v>345</v>
      </c>
      <c r="P46" s="188">
        <v>482</v>
      </c>
      <c r="Q46" s="204">
        <v>2006</v>
      </c>
      <c r="R46" s="174">
        <v>-3673</v>
      </c>
      <c r="S46" s="129">
        <v>504</v>
      </c>
      <c r="T46" s="129">
        <v>2285</v>
      </c>
      <c r="U46" s="129">
        <v>5278</v>
      </c>
      <c r="V46" s="206">
        <v>1738</v>
      </c>
      <c r="W46" s="129" t="s">
        <v>39</v>
      </c>
      <c r="X46" s="36"/>
    </row>
    <row r="47" spans="1:24" ht="12.75">
      <c r="A47" s="2" t="s">
        <v>171</v>
      </c>
      <c r="B47" s="41" t="s">
        <v>15</v>
      </c>
      <c r="C47" s="41" t="s">
        <v>270</v>
      </c>
      <c r="D47" s="225">
        <v>-4037</v>
      </c>
      <c r="E47" s="225">
        <v>-5353</v>
      </c>
      <c r="F47" s="225">
        <v>-5165</v>
      </c>
      <c r="G47" s="225">
        <v>-5672</v>
      </c>
      <c r="H47" s="226">
        <v>-4859</v>
      </c>
      <c r="I47" s="225">
        <v>4270</v>
      </c>
      <c r="J47" s="225">
        <v>3902</v>
      </c>
      <c r="K47" s="225">
        <v>3523</v>
      </c>
      <c r="L47" s="225">
        <v>3479</v>
      </c>
      <c r="M47" s="225">
        <v>2245</v>
      </c>
      <c r="N47" s="225">
        <v>2046</v>
      </c>
      <c r="O47" s="225">
        <v>2058</v>
      </c>
      <c r="P47" s="225">
        <v>2207</v>
      </c>
      <c r="Q47" s="226">
        <v>2489</v>
      </c>
      <c r="R47" s="226">
        <v>2927</v>
      </c>
      <c r="S47" s="226">
        <v>1377</v>
      </c>
      <c r="T47" s="226">
        <v>1479</v>
      </c>
      <c r="U47" s="226">
        <v>1461</v>
      </c>
      <c r="V47" s="227">
        <v>1495</v>
      </c>
      <c r="W47" s="226">
        <v>2518</v>
      </c>
      <c r="X47" s="42"/>
    </row>
    <row r="48" spans="1:24" ht="12.75">
      <c r="A48" s="2" t="s">
        <v>171</v>
      </c>
      <c r="B48" s="41" t="s">
        <v>21</v>
      </c>
      <c r="C48" s="41" t="s">
        <v>271</v>
      </c>
      <c r="D48" s="225">
        <v>-3031</v>
      </c>
      <c r="E48" s="225">
        <v>-3109</v>
      </c>
      <c r="F48" s="225">
        <v>-1342</v>
      </c>
      <c r="G48" s="225">
        <v>-935</v>
      </c>
      <c r="H48" s="226">
        <v>-2086</v>
      </c>
      <c r="I48" s="225">
        <v>2398</v>
      </c>
      <c r="J48" s="225">
        <v>2949</v>
      </c>
      <c r="K48" s="225">
        <v>2823</v>
      </c>
      <c r="L48" s="225">
        <v>1469</v>
      </c>
      <c r="M48" s="225">
        <v>1121</v>
      </c>
      <c r="N48" s="225">
        <v>2615</v>
      </c>
      <c r="O48" s="225">
        <v>2248</v>
      </c>
      <c r="P48" s="225">
        <v>983</v>
      </c>
      <c r="Q48" s="226">
        <v>1126</v>
      </c>
      <c r="R48" s="226">
        <v>1849</v>
      </c>
      <c r="S48" s="226">
        <v>1599</v>
      </c>
      <c r="T48" s="226">
        <v>74</v>
      </c>
      <c r="U48" s="226">
        <v>316</v>
      </c>
      <c r="V48" s="227">
        <v>462</v>
      </c>
      <c r="W48" s="226">
        <v>2108</v>
      </c>
      <c r="X48" s="42"/>
    </row>
    <row r="49" spans="1:24" ht="12.75">
      <c r="A49" s="2" t="s">
        <v>171</v>
      </c>
      <c r="B49" s="41" t="s">
        <v>22</v>
      </c>
      <c r="C49" s="41" t="s">
        <v>211</v>
      </c>
      <c r="D49" s="225">
        <v>-51</v>
      </c>
      <c r="E49" s="225">
        <v>-1764</v>
      </c>
      <c r="F49" s="225">
        <v>-4545</v>
      </c>
      <c r="G49" s="225">
        <v>-323</v>
      </c>
      <c r="H49" s="226">
        <v>-428</v>
      </c>
      <c r="I49" s="225">
        <v>9340</v>
      </c>
      <c r="J49" s="225">
        <v>4808</v>
      </c>
      <c r="K49" s="225">
        <v>6483</v>
      </c>
      <c r="L49" s="225">
        <v>13286</v>
      </c>
      <c r="M49" s="225">
        <v>2349</v>
      </c>
      <c r="N49" s="225">
        <v>10400</v>
      </c>
      <c r="O49" s="225">
        <v>2793</v>
      </c>
      <c r="P49" s="225">
        <v>3431</v>
      </c>
      <c r="Q49" s="226">
        <v>1558</v>
      </c>
      <c r="R49" s="226">
        <v>7698</v>
      </c>
      <c r="S49" s="226">
        <v>821</v>
      </c>
      <c r="T49" s="226">
        <v>520</v>
      </c>
      <c r="U49" s="226">
        <v>383</v>
      </c>
      <c r="V49" s="227">
        <v>1928</v>
      </c>
      <c r="W49" s="226">
        <v>6899</v>
      </c>
      <c r="X49" s="42"/>
    </row>
    <row r="53" s="52" customFormat="1" ht="12.75">
      <c r="H53" s="77"/>
    </row>
    <row r="55" spans="2:8" ht="12.75">
      <c r="B55" s="51" t="s">
        <v>98</v>
      </c>
      <c r="C55" s="90" t="s">
        <v>272</v>
      </c>
      <c r="D55" s="90"/>
      <c r="E55" s="51"/>
      <c r="F55" s="51"/>
      <c r="G55" s="51"/>
      <c r="H55" s="78"/>
    </row>
    <row r="56" spans="2:8" ht="12.75">
      <c r="B56" s="51" t="s">
        <v>130</v>
      </c>
      <c r="C56" s="91" t="s">
        <v>273</v>
      </c>
      <c r="D56" s="91"/>
      <c r="E56" s="51"/>
      <c r="F56" s="51"/>
      <c r="G56" s="51"/>
      <c r="H56" s="78"/>
    </row>
    <row r="57" spans="2:8" ht="12.75">
      <c r="B57" s="51" t="s">
        <v>128</v>
      </c>
      <c r="C57" s="90" t="s">
        <v>274</v>
      </c>
      <c r="D57" s="90"/>
      <c r="E57" s="51"/>
      <c r="F57" s="51"/>
      <c r="G57" s="51"/>
      <c r="H57" s="78"/>
    </row>
    <row r="58" spans="2:8" ht="12.75">
      <c r="B58" s="51" t="s">
        <v>101</v>
      </c>
      <c r="C58" s="91" t="s">
        <v>275</v>
      </c>
      <c r="D58" s="91"/>
      <c r="E58" s="51"/>
      <c r="F58" s="51"/>
      <c r="G58" s="51"/>
      <c r="H58" s="78"/>
    </row>
    <row r="59" spans="2:8" ht="12.75">
      <c r="B59" s="51" t="s">
        <v>129</v>
      </c>
      <c r="C59" s="91" t="s">
        <v>276</v>
      </c>
      <c r="D59" s="91"/>
      <c r="E59" s="51"/>
      <c r="F59" s="51"/>
      <c r="G59" s="51"/>
      <c r="H59" s="78"/>
    </row>
    <row r="60" spans="2:4" ht="12.75">
      <c r="B60" s="2" t="s">
        <v>97</v>
      </c>
      <c r="C60" s="84" t="s">
        <v>277</v>
      </c>
      <c r="D60" s="84"/>
    </row>
    <row r="61" ht="12.75">
      <c r="B61" s="2" t="s">
        <v>82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2009-03-12T13:09:14Z</cp:lastPrinted>
  <dcterms:created xsi:type="dcterms:W3CDTF">2000-01-30T17:24:37Z</dcterms:created>
  <dcterms:modified xsi:type="dcterms:W3CDTF">2018-05-07T13:53:25Z</dcterms:modified>
  <cp:category/>
  <cp:version/>
  <cp:contentType/>
  <cp:contentStatus/>
</cp:coreProperties>
</file>